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8190" tabRatio="537" activeTab="1"/>
  </bookViews>
  <sheets>
    <sheet name="INSTRUCTIONS " sheetId="1" r:id="rId1"/>
    <sheet name="Data" sheetId="2" r:id="rId2"/>
    <sheet name="Proceeding" sheetId="3" r:id="rId3"/>
    <sheet name="47 In" sheetId="4" r:id="rId4"/>
    <sheet name="47 Out" sheetId="5" r:id="rId5"/>
    <sheet name="Shedules" sheetId="6" r:id="rId6"/>
    <sheet name="PROGRAMME" sheetId="7" state="hidden" r:id="rId7"/>
  </sheets>
  <definedNames>
    <definedName name="_01.07.2008">#REF!</definedName>
    <definedName name="_xlfn.BAHTTEXT" hidden="1">#NAME?</definedName>
    <definedName name="Z_476E639A_C93F_4914_9944_1B94D1E16B75_.wvu.Cols" localSheetId="4" hidden="1">'47 Out'!$M:$M,'47 Out'!$O:$O</definedName>
    <definedName name="Z_476E639A_C93F_4914_9944_1B94D1E16B75_.wvu.Rows" localSheetId="4" hidden="1">'47 Out'!$39:$40,'47 Out'!$51:$52</definedName>
  </definedNames>
  <calcPr fullCalcOnLoad="1"/>
</workbook>
</file>

<file path=xl/sharedStrings.xml><?xml version="1.0" encoding="utf-8"?>
<sst xmlns="http://schemas.openxmlformats.org/spreadsheetml/2006/main" count="941" uniqueCount="618">
  <si>
    <t>Date:</t>
  </si>
  <si>
    <t>-</t>
  </si>
  <si>
    <t>Total</t>
  </si>
  <si>
    <t>Name</t>
  </si>
  <si>
    <t>ORDER</t>
  </si>
  <si>
    <t>Ref:</t>
  </si>
  <si>
    <t>S.NO</t>
  </si>
  <si>
    <t>MONTH</t>
  </si>
  <si>
    <t>TO BE DRAWN</t>
  </si>
  <si>
    <t>ALREADY DRAWN</t>
  </si>
  <si>
    <t>DIFFERENCE</t>
  </si>
  <si>
    <t>DA</t>
  </si>
  <si>
    <t>HRA</t>
  </si>
  <si>
    <t>GROSS TOTAL</t>
  </si>
  <si>
    <t>TOTAL</t>
  </si>
  <si>
    <t>Secondary Grade Teacher</t>
  </si>
  <si>
    <t>School Assistant</t>
  </si>
  <si>
    <t>Palce of Working</t>
  </si>
  <si>
    <t>Mandal</t>
  </si>
  <si>
    <t>Sub:</t>
  </si>
  <si>
    <t>( Mention Sri./Smt. Before name and Education Qualifiction after Name)</t>
  </si>
  <si>
    <t>PHC Allowance</t>
  </si>
  <si>
    <t>PHC Allowances</t>
  </si>
  <si>
    <t>No.</t>
  </si>
  <si>
    <t>If Change mention %</t>
  </si>
  <si>
    <t>Kama Reddy</t>
  </si>
  <si>
    <t>S.No</t>
  </si>
  <si>
    <t>AGI</t>
  </si>
  <si>
    <t>January</t>
  </si>
  <si>
    <t>February</t>
  </si>
  <si>
    <t>March</t>
  </si>
  <si>
    <t>April</t>
  </si>
  <si>
    <t>May</t>
  </si>
  <si>
    <t>June</t>
  </si>
  <si>
    <t>July</t>
  </si>
  <si>
    <t>August</t>
  </si>
  <si>
    <t>September</t>
  </si>
  <si>
    <t>October</t>
  </si>
  <si>
    <t>November</t>
  </si>
  <si>
    <t>December</t>
  </si>
  <si>
    <t>Next A G Increment on</t>
  </si>
  <si>
    <t>Treasury Id</t>
  </si>
  <si>
    <t>Promotion</t>
  </si>
  <si>
    <t>BASIC PAY</t>
  </si>
  <si>
    <t>Present Designation</t>
  </si>
  <si>
    <t>LFLHM</t>
  </si>
  <si>
    <t>dd</t>
  </si>
  <si>
    <t>mm</t>
  </si>
  <si>
    <t>yyyy</t>
  </si>
  <si>
    <t>District</t>
  </si>
  <si>
    <t>Nizamabad</t>
  </si>
  <si>
    <t>DDO Code</t>
  </si>
  <si>
    <t>Treasury Link Bank Code</t>
  </si>
  <si>
    <t>0111</t>
  </si>
  <si>
    <t>Link Bank Name</t>
  </si>
  <si>
    <t>Account Number</t>
  </si>
  <si>
    <t>STO Place</t>
  </si>
  <si>
    <t>Employee Bank A/C No.</t>
  </si>
  <si>
    <t>Bank Name</t>
  </si>
  <si>
    <t>1) Budget Allotment for the Year 2010 -11</t>
  </si>
  <si>
    <t>2) Total Expenditure including this bill</t>
  </si>
  <si>
    <t>Government of Andhra Pradesh</t>
  </si>
  <si>
    <t>3) Balance</t>
  </si>
  <si>
    <t>(APTC Form-47)</t>
  </si>
  <si>
    <t xml:space="preserve">Pay Bill for the Month &amp; Year     </t>
  </si>
  <si>
    <t>Date  ----------------</t>
  </si>
  <si>
    <t>Treasury / PAAO Code</t>
  </si>
  <si>
    <t>For office use only</t>
  </si>
  <si>
    <t>Trans ID  -----------</t>
  </si>
  <si>
    <t>Drawing Officer</t>
  </si>
  <si>
    <t xml:space="preserve">D.D.O.Code  </t>
  </si>
  <si>
    <t>Dist :</t>
  </si>
  <si>
    <t>D.D.O Designation</t>
  </si>
  <si>
    <t>D.D.O Office Name</t>
  </si>
  <si>
    <t xml:space="preserve"> Passed for Rs.</t>
  </si>
  <si>
    <t>Bank Code</t>
  </si>
  <si>
    <t xml:space="preserve">Bank Name </t>
  </si>
  <si>
    <t>D.D.O's TBR No -------------------------------------</t>
  </si>
  <si>
    <t>Permanent/Temporary</t>
  </si>
  <si>
    <t>HEAD OF ACCOUNT</t>
  </si>
  <si>
    <t>Deductions</t>
  </si>
  <si>
    <t>Amount</t>
  </si>
  <si>
    <t>Cash   Received</t>
  </si>
  <si>
    <t>Major Head</t>
  </si>
  <si>
    <t>AG GPF &amp; Loan</t>
  </si>
  <si>
    <t>Rs</t>
  </si>
  <si>
    <t>Sub Major</t>
  </si>
  <si>
    <t>GIS</t>
  </si>
  <si>
    <t xml:space="preserve">             Drawing Officer</t>
  </si>
  <si>
    <t>Professional Tax</t>
  </si>
  <si>
    <t>Minor Head</t>
  </si>
  <si>
    <t>House Rent</t>
  </si>
  <si>
    <t>________________________________________________________________</t>
  </si>
  <si>
    <t>Festival Advance</t>
  </si>
  <si>
    <t>ENCLOSURES</t>
  </si>
  <si>
    <t>Group Sub Head</t>
  </si>
  <si>
    <t>Education Advance</t>
  </si>
  <si>
    <t>APCO Advance</t>
  </si>
  <si>
    <t>1) Fixation Proceeding copy</t>
  </si>
  <si>
    <t>Sub Head</t>
  </si>
  <si>
    <t>H.B.A.(P)</t>
  </si>
  <si>
    <t>2) Difference statement of arrears</t>
  </si>
  <si>
    <t>H.B.A.(I)</t>
  </si>
  <si>
    <t>Detailed Head</t>
  </si>
  <si>
    <t>Salaries</t>
  </si>
  <si>
    <t>Car Advance</t>
  </si>
  <si>
    <t>____________________________________________________</t>
  </si>
  <si>
    <t>Car Advance(I)</t>
  </si>
  <si>
    <t>Motor Cycle Adv (P)</t>
  </si>
  <si>
    <t>Non-Plan=N/Plan=P</t>
  </si>
  <si>
    <t>N</t>
  </si>
  <si>
    <t>Charged=C/Voted=V</t>
  </si>
  <si>
    <t>V</t>
  </si>
  <si>
    <t>Motor Cycle Adv (I)</t>
  </si>
  <si>
    <t>Cycle Advance</t>
  </si>
  <si>
    <t>Contingency Fund MH/</t>
  </si>
  <si>
    <t>Marriage Advance(P)</t>
  </si>
  <si>
    <t>Service Major Head</t>
  </si>
  <si>
    <t>Marriage Advance(I)</t>
  </si>
  <si>
    <t>Income Tax</t>
  </si>
  <si>
    <t>011    Pay</t>
  </si>
  <si>
    <t>Rs.</t>
  </si>
  <si>
    <t>GPF DTO</t>
  </si>
  <si>
    <t>_________________________________________________________________________</t>
  </si>
  <si>
    <t>012    Allowance</t>
  </si>
  <si>
    <t>E.W.F /Loan</t>
  </si>
  <si>
    <t>For use in Office of the Accountant General</t>
  </si>
  <si>
    <t>013     Dearness Allowance</t>
  </si>
  <si>
    <t>Z.P.G.P.F(8338)</t>
  </si>
  <si>
    <t>016     H.R.A.</t>
  </si>
  <si>
    <t>C.S.S</t>
  </si>
  <si>
    <t>017      I.R.</t>
  </si>
  <si>
    <t xml:space="preserve">          ----------------------------</t>
  </si>
  <si>
    <t>Total Govt. Deductions</t>
  </si>
  <si>
    <t xml:space="preserve">          -----------------------------</t>
  </si>
  <si>
    <t xml:space="preserve">         ------------------------------</t>
  </si>
  <si>
    <t>Total Non Govt. Deductions</t>
  </si>
  <si>
    <t xml:space="preserve">         Gross Amount</t>
  </si>
  <si>
    <t xml:space="preserve">         Less govt. Deductions</t>
  </si>
  <si>
    <t xml:space="preserve">         AG Net Amount</t>
  </si>
  <si>
    <t xml:space="preserve">         AG Net Amount in Words :</t>
  </si>
  <si>
    <t>DDO's Signature</t>
  </si>
  <si>
    <t>FOR USE IN TREASURY/PAY &amp; ACCOUNT OFFICE ONLY</t>
  </si>
  <si>
    <t>Pay Rs.-------------------------------------------------------------------------------------------------</t>
  </si>
  <si>
    <t xml:space="preserve"> {Rupees-------------------------------------------------------------------</t>
  </si>
  <si>
    <t>………………………………………………………………………………………………………Only} by cash/draft/</t>
  </si>
  <si>
    <t>……………………………………………………….Only by Adjustment.</t>
  </si>
  <si>
    <t>Rs………………………..</t>
  </si>
  <si>
    <t>by Transfer credit to the S.B Accounts of The Employees</t>
  </si>
  <si>
    <t>(As per Annexure-1)</t>
  </si>
  <si>
    <t xml:space="preserve">by transfer credit to the D.D.O Accounts towards </t>
  </si>
  <si>
    <t>non-government deductions.</t>
  </si>
  <si>
    <t xml:space="preserve">Treasury Officer / pay &amp; Account Officer      </t>
  </si>
  <si>
    <t>Net Payable</t>
  </si>
  <si>
    <t>APTC FORM  101</t>
  </si>
  <si>
    <t>( See Subsidiary Rule 2 ( W) Under Treasury Rule 15 ;</t>
  </si>
  <si>
    <t>Govt. Memo No. 38907 / Accounts / 65-5 . Dt. : 21-02-1963 )</t>
  </si>
  <si>
    <t xml:space="preserve">Treasury / PAO Code </t>
  </si>
  <si>
    <t>DDO Designation:</t>
  </si>
  <si>
    <t xml:space="preserve">Treasury / PAO Name </t>
  </si>
  <si>
    <t>To</t>
  </si>
  <si>
    <t>The Treasury Officer / Manager,</t>
  </si>
  <si>
    <t xml:space="preserve">Please Pay Bill No.               </t>
  </si>
  <si>
    <t xml:space="preserve">Dated : </t>
  </si>
  <si>
    <t>For Rs:-</t>
  </si>
  <si>
    <t>Whose specimen signature is attested here with.</t>
  </si>
  <si>
    <t>Signature of the Govt. Servant</t>
  </si>
  <si>
    <t xml:space="preserve">Received  the payment </t>
  </si>
  <si>
    <t xml:space="preserve">Dated :-                             </t>
  </si>
  <si>
    <t xml:space="preserve">Dated: -                     </t>
  </si>
  <si>
    <t>Attested</t>
  </si>
  <si>
    <t>Signature of the Govt servant</t>
  </si>
  <si>
    <t>receiving the payment.</t>
  </si>
  <si>
    <t>……APTC 101 is necessary in your Treasury Sumbit………………….... Cut here ………………</t>
  </si>
  <si>
    <t xml:space="preserve">ANNEXURE - VI </t>
  </si>
  <si>
    <t>(PAPER TOKEN)</t>
  </si>
  <si>
    <t>STO / PAO CODE    :</t>
  </si>
  <si>
    <t>STO / PAO Name    :</t>
  </si>
  <si>
    <t>DDO Desg</t>
  </si>
  <si>
    <t>Plan / Non Plan     :</t>
  </si>
  <si>
    <t>Non Plan</t>
  </si>
  <si>
    <t>Voted/Charged</t>
  </si>
  <si>
    <t xml:space="preserve"> Voted</t>
  </si>
  <si>
    <t>For Office Use</t>
  </si>
  <si>
    <t>Trans Id &amp;Date</t>
  </si>
  <si>
    <t>Name of the Messenger</t>
  </si>
  <si>
    <t>Designation of the Messenger</t>
  </si>
  <si>
    <t>Bill Amount Rs.</t>
  </si>
  <si>
    <t>DDO Signature</t>
  </si>
  <si>
    <t>ATO / STO Signature</t>
  </si>
  <si>
    <t>ANEXURE-I</t>
  </si>
  <si>
    <t>DDO Name &amp; Desig:</t>
  </si>
  <si>
    <t>Trans ID No:</t>
  </si>
  <si>
    <t>Name of NLB:</t>
  </si>
  <si>
    <t>Name of the Employee</t>
  </si>
  <si>
    <t>……………………………...…………………. Cut here ………………………………………….……………….</t>
  </si>
  <si>
    <t>ANEXURE-II</t>
  </si>
  <si>
    <t>Name of the Bank</t>
  </si>
  <si>
    <t>Purpose of bill</t>
  </si>
  <si>
    <t>Non-Drawn Certificate:</t>
  </si>
  <si>
    <t>The Claims made in this bill are not clamed earlier and now same has entered in concerned Pay Bill register to avoid double claim in the future</t>
  </si>
  <si>
    <t>Bill Period upto</t>
  </si>
  <si>
    <t>INSTRUCTIONS TO USE THIS PROGRAMME</t>
  </si>
  <si>
    <t>Don't Over write on Original Down loaded file from my site</t>
  </si>
  <si>
    <t>Every Time work with Original File. To work on Original file first save as Your Name or …….</t>
  </si>
  <si>
    <t xml:space="preserve">Enter the Particulars of salary eraised due to reason </t>
  </si>
  <si>
    <t>Ex:</t>
  </si>
  <si>
    <t>OR</t>
  </si>
  <si>
    <t>……..</t>
  </si>
  <si>
    <t xml:space="preserve">Enter the dates of salary eraised </t>
  </si>
  <si>
    <t>DD</t>
  </si>
  <si>
    <t>MM</t>
  </si>
  <si>
    <t>YYYY</t>
  </si>
  <si>
    <t>If you have any un necessary lines in PROCEEDINGS sheet delete all the un necessary rows</t>
  </si>
  <si>
    <r>
      <t xml:space="preserve">Signature of the </t>
    </r>
    <r>
      <rPr>
        <sz val="10"/>
        <rFont val="Arial"/>
        <family val="2"/>
      </rPr>
      <t>DDO</t>
    </r>
    <r>
      <rPr>
        <sz val="10"/>
        <rFont val="Times New Roman"/>
        <family val="0"/>
      </rPr>
      <t xml:space="preserve"> / </t>
    </r>
    <r>
      <rPr>
        <sz val="10"/>
        <rFont val="Arial"/>
        <family val="2"/>
      </rPr>
      <t>DDO Seal</t>
    </r>
  </si>
  <si>
    <t>"Pay Bill Particulars" mention below</t>
  </si>
  <si>
    <t>Under Rupees</t>
  </si>
  <si>
    <t>C.P.S</t>
  </si>
  <si>
    <t>Proceeding will be issue by</t>
  </si>
  <si>
    <t>CCA</t>
  </si>
  <si>
    <t>Any Change Mention Month</t>
  </si>
  <si>
    <t>Changed to</t>
  </si>
  <si>
    <t>PT to be Paid</t>
  </si>
  <si>
    <t>PT already Paid</t>
  </si>
  <si>
    <t>PT Difference</t>
  </si>
  <si>
    <t xml:space="preserve">Programme Developed By : PUTTA SRINIVAS REDDY, 98490 25860, PRTU Domakonda, Nizamabad </t>
  </si>
  <si>
    <t>Any Change in % Mention Month</t>
  </si>
  <si>
    <t>AAS(8 Years)</t>
  </si>
  <si>
    <t>Account Credit as under and Rs…………………………………..{Rupees…………………………………………..)</t>
  </si>
  <si>
    <t>Programme Developed By</t>
  </si>
  <si>
    <t>Sri. R.Madhava Reddy, B.Sc, B.Ed.</t>
  </si>
  <si>
    <t>Arrears</t>
  </si>
  <si>
    <t>www.prtunzb.org</t>
  </si>
  <si>
    <r>
      <t>www.prtunzb.org</t>
    </r>
    <r>
      <rPr>
        <b/>
        <sz val="18"/>
        <color indexed="9"/>
        <rFont val="Times New Roman"/>
        <family val="1"/>
      </rPr>
      <t xml:space="preserve">     </t>
    </r>
    <r>
      <rPr>
        <b/>
        <sz val="18"/>
        <color indexed="12"/>
        <rFont val="Times New Roman"/>
        <family val="1"/>
      </rPr>
      <t>(ENTER YOUR DETAILS)</t>
    </r>
    <r>
      <rPr>
        <b/>
        <sz val="18"/>
        <color indexed="9"/>
        <rFont val="Times New Roman"/>
        <family val="1"/>
      </rPr>
      <t xml:space="preserve">      </t>
    </r>
    <r>
      <rPr>
        <b/>
        <sz val="18"/>
        <rFont val="Times New Roman"/>
        <family val="1"/>
      </rPr>
      <t>www.prtunzb.webs.com</t>
    </r>
  </si>
  <si>
    <t>Putta Srinivas Reddy                                           General Secretary                                             PRTU Domakonda                                           District Nizamabad                                  98490 25860</t>
  </si>
  <si>
    <t>Designation of 6/12/18/24                          Years completed Cadre</t>
  </si>
  <si>
    <t>Date of Joining in the Present Cadre</t>
  </si>
  <si>
    <t>Days</t>
  </si>
  <si>
    <t>If any E.O.L Period(s)</t>
  </si>
  <si>
    <t>Whether Departmental Tests Passed</t>
  </si>
  <si>
    <t>Language Pandit (Telugu)</t>
  </si>
  <si>
    <t>Language Pandit (Hindi)</t>
  </si>
  <si>
    <t>Language Pandit (              )</t>
  </si>
  <si>
    <t>PET</t>
  </si>
  <si>
    <t>Gazetted Head Master Gr. II</t>
  </si>
  <si>
    <t>Completed Service as on 01.02.2010</t>
  </si>
  <si>
    <t>PHC</t>
  </si>
  <si>
    <t>SG</t>
  </si>
  <si>
    <t>SPP-IA</t>
  </si>
  <si>
    <t>SPP-IB</t>
  </si>
  <si>
    <t>SPP-II</t>
  </si>
  <si>
    <t>DOJ</t>
  </si>
  <si>
    <t>DOB</t>
  </si>
  <si>
    <t>Inter</t>
  </si>
  <si>
    <t>B.Sc</t>
  </si>
  <si>
    <t>B.Com</t>
  </si>
  <si>
    <t>B.A</t>
  </si>
  <si>
    <t>Vidwan</t>
  </si>
  <si>
    <t>T.T.C</t>
  </si>
  <si>
    <t>D.Ed</t>
  </si>
  <si>
    <t>B.Ed</t>
  </si>
  <si>
    <t>B.P.Ed</t>
  </si>
  <si>
    <t>T.P.T</t>
  </si>
  <si>
    <t>H.P.T</t>
  </si>
  <si>
    <t>M.Ed</t>
  </si>
  <si>
    <t>M.P.Ed</t>
  </si>
  <si>
    <t>Yes</t>
  </si>
  <si>
    <t>No</t>
  </si>
  <si>
    <t>Exempted</t>
  </si>
  <si>
    <t>PDC</t>
  </si>
  <si>
    <t>UGD</t>
  </si>
  <si>
    <t>(                  )</t>
  </si>
  <si>
    <t>No Need of Additional Qualifications</t>
  </si>
  <si>
    <t xml:space="preserve">No Need of Departmental Tests Pass </t>
  </si>
  <si>
    <t>Your Age</t>
  </si>
  <si>
    <t>Basic Pay as on</t>
  </si>
  <si>
    <t>FPI</t>
  </si>
  <si>
    <t>Additionals</t>
  </si>
  <si>
    <t>Promotion FR22a(i)</t>
  </si>
  <si>
    <t>AAS</t>
  </si>
  <si>
    <t>Promotion FR 22(B)</t>
  </si>
  <si>
    <t>No Change</t>
  </si>
  <si>
    <t>FR 22 a(i)</t>
  </si>
  <si>
    <t>FR 22(B)</t>
  </si>
  <si>
    <t>Already Drawn</t>
  </si>
  <si>
    <t>Tobe Drawn</t>
  </si>
  <si>
    <t xml:space="preserve">Pay Raised Prticulars after </t>
  </si>
  <si>
    <t xml:space="preserve">Tobe </t>
  </si>
  <si>
    <t>Already</t>
  </si>
  <si>
    <t>June,11</t>
  </si>
  <si>
    <t>July,11</t>
  </si>
  <si>
    <t>August,11</t>
  </si>
  <si>
    <t>September,11</t>
  </si>
  <si>
    <t>October,11</t>
  </si>
  <si>
    <t>November,11</t>
  </si>
  <si>
    <t>December,11</t>
  </si>
  <si>
    <t>S. Leave</t>
  </si>
  <si>
    <t xml:space="preserve">HRA % Recived as on </t>
  </si>
  <si>
    <t>10/12%</t>
  </si>
  <si>
    <t>12.5/14.5%</t>
  </si>
  <si>
    <t>February,2010</t>
  </si>
  <si>
    <t>March,2010</t>
  </si>
  <si>
    <t>April,2010</t>
  </si>
  <si>
    <t>May,2010</t>
  </si>
  <si>
    <t>June,2010</t>
  </si>
  <si>
    <t>July,2010</t>
  </si>
  <si>
    <t>August,2010</t>
  </si>
  <si>
    <t>Sepember,2010</t>
  </si>
  <si>
    <t>October,2010</t>
  </si>
  <si>
    <t>November,2010</t>
  </si>
  <si>
    <t>December,2010</t>
  </si>
  <si>
    <t>January,2011</t>
  </si>
  <si>
    <t>February,2011</t>
  </si>
  <si>
    <t>March,2011</t>
  </si>
  <si>
    <t>April,2011</t>
  </si>
  <si>
    <t>May,2011</t>
  </si>
  <si>
    <t>June,2011</t>
  </si>
  <si>
    <t>July,2011</t>
  </si>
  <si>
    <t>August,2011</t>
  </si>
  <si>
    <t>Sepember,2011</t>
  </si>
  <si>
    <t>October,2011</t>
  </si>
  <si>
    <t>November,2011</t>
  </si>
  <si>
    <t>December,2011</t>
  </si>
  <si>
    <t>Creditted in GPF/CPS</t>
  </si>
  <si>
    <t>Mandal Educational Officer</t>
  </si>
  <si>
    <t>Dy.Educational Officer</t>
  </si>
  <si>
    <t>Gazetted Headmaster</t>
  </si>
  <si>
    <t>Gazetted Headmistress</t>
  </si>
  <si>
    <t>Headmaster</t>
  </si>
  <si>
    <t>Headmistress</t>
  </si>
  <si>
    <t>4.Proposals of the Individual</t>
  </si>
  <si>
    <t>Dt.</t>
  </si>
  <si>
    <t>10900-31550</t>
  </si>
  <si>
    <t>11530-33200</t>
  </si>
  <si>
    <t>14860-39540</t>
  </si>
  <si>
    <t>SGT</t>
  </si>
  <si>
    <t>SA</t>
  </si>
  <si>
    <t>GHM</t>
  </si>
  <si>
    <t>18030-43630</t>
  </si>
  <si>
    <t>15280-40510</t>
  </si>
  <si>
    <t>19050-45850</t>
  </si>
  <si>
    <t>21820-48160</t>
  </si>
  <si>
    <t>1).</t>
  </si>
  <si>
    <t>2).</t>
  </si>
  <si>
    <t xml:space="preserve">Any E.O.L Period </t>
  </si>
  <si>
    <t>3).</t>
  </si>
  <si>
    <t>4).</t>
  </si>
  <si>
    <t>:</t>
  </si>
  <si>
    <t>Acadamic Qualificiations</t>
  </si>
  <si>
    <t>Professional Qualificiations</t>
  </si>
  <si>
    <t xml:space="preserve">Wether Departmental Tests Passed </t>
  </si>
  <si>
    <t>5).</t>
  </si>
  <si>
    <t>6).</t>
  </si>
  <si>
    <t>7).</t>
  </si>
  <si>
    <t>8).</t>
  </si>
  <si>
    <t>9).</t>
  </si>
  <si>
    <t xml:space="preserve">Scale &amp; Pay as on </t>
  </si>
  <si>
    <t>Scale &amp; Pay as on</t>
  </si>
  <si>
    <t>10).</t>
  </si>
  <si>
    <t>11).</t>
  </si>
  <si>
    <t>12).</t>
  </si>
  <si>
    <t>14).</t>
  </si>
  <si>
    <t>15).</t>
  </si>
  <si>
    <t>Date of Next Increment on</t>
  </si>
  <si>
    <t>Surrender Leave 1</t>
  </si>
  <si>
    <t>Surrender Leave 2</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</si>
  <si>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</si>
  <si>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</si>
  <si>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</si>
  <si>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</si>
  <si>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</si>
  <si>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</si>
  <si>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</si>
  <si>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</si>
  <si>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</si>
  <si>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</si>
  <si>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</si>
  <si>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</si>
  <si>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</si>
  <si>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</si>
  <si>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</si>
  <si>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</si>
  <si>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</si>
  <si>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</si>
  <si>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</si>
  <si>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</si>
  <si>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</si>
  <si>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</si>
  <si>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</si>
  <si>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</si>
  <si>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</si>
  <si>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</si>
  <si>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</si>
  <si>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</si>
  <si>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</si>
  <si>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</si>
  <si>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</si>
  <si>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</si>
  <si>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</si>
  <si>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</si>
  <si>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</si>
  <si>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</si>
  <si>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</si>
  <si>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</si>
  <si>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</si>
  <si>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</si>
  <si>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</si>
  <si>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</si>
  <si>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</si>
  <si>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</si>
  <si>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</si>
  <si>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</si>
  <si>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</si>
  <si>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</si>
  <si>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</si>
  <si>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</si>
  <si>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</si>
  <si>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</si>
  <si>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</si>
  <si>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</si>
  <si>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</si>
  <si>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</si>
  <si>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</si>
  <si>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</si>
  <si>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</si>
  <si>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</si>
  <si>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</si>
  <si>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</si>
  <si>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</si>
  <si>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</si>
  <si>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</si>
  <si>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</si>
  <si>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</si>
  <si>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</si>
  <si>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</si>
  <si>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</si>
  <si>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</si>
  <si>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</si>
  <si>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</si>
  <si>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</si>
  <si>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</si>
  <si>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</si>
  <si>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</si>
  <si>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</si>
  <si>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</si>
  <si>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</si>
  <si>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</si>
  <si>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</si>
  <si>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</si>
  <si>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</si>
  <si>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</si>
  <si>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</si>
  <si>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</si>
  <si>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</si>
  <si>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</si>
  <si>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</si>
  <si>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</si>
  <si>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</si>
  <si>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</si>
  <si>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</si>
  <si>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</si>
  <si>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</si>
  <si>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</si>
  <si>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</si>
  <si>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</si>
  <si>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Number</t>
  </si>
  <si>
    <t>Rupees in Words Conversion</t>
  </si>
  <si>
    <t>PF Type</t>
  </si>
  <si>
    <t xml:space="preserve">      A/C No.</t>
  </si>
  <si>
    <t>AGGPF</t>
  </si>
  <si>
    <t>ZPGPF</t>
  </si>
  <si>
    <t>CPS</t>
  </si>
  <si>
    <t>Tobe</t>
  </si>
  <si>
    <t>Promotion Inc 1</t>
  </si>
  <si>
    <t>Promotion Inc 2</t>
  </si>
  <si>
    <t>Prom Arrears</t>
  </si>
  <si>
    <t>8Years</t>
  </si>
  <si>
    <t>15 days in Feb,10</t>
  </si>
  <si>
    <t>30 days in Feb,10</t>
  </si>
  <si>
    <t>15 days in March,10</t>
  </si>
  <si>
    <t>30 days in March,10</t>
  </si>
  <si>
    <t>15 days in April,10</t>
  </si>
  <si>
    <t>30 days in April,10</t>
  </si>
  <si>
    <t>15 days in May,10</t>
  </si>
  <si>
    <t>30 days in May,10</t>
  </si>
  <si>
    <t>15 days in June,10</t>
  </si>
  <si>
    <t>30 days in June,10</t>
  </si>
  <si>
    <t>15 days in July,10</t>
  </si>
  <si>
    <t>30 days in July,10</t>
  </si>
  <si>
    <t>15 days in August,10</t>
  </si>
  <si>
    <t>30 days in August,10</t>
  </si>
  <si>
    <t>15 days in September,10</t>
  </si>
  <si>
    <t>30 days in September,10</t>
  </si>
  <si>
    <t>15 days in October,10</t>
  </si>
  <si>
    <t>30 days in Ocober,10</t>
  </si>
  <si>
    <t>15 days in November,10</t>
  </si>
  <si>
    <t>30 days in November,10</t>
  </si>
  <si>
    <t>15 days in Demcember,10</t>
  </si>
  <si>
    <t>30 days in December,10</t>
  </si>
  <si>
    <t>15 days in January,11</t>
  </si>
  <si>
    <t>30 days in January,11</t>
  </si>
  <si>
    <t>Not Availed</t>
  </si>
  <si>
    <t>15 days in Feb,11</t>
  </si>
  <si>
    <t>30 days in Feb,11</t>
  </si>
  <si>
    <t>15 days in March,11</t>
  </si>
  <si>
    <t>30 days in March,11</t>
  </si>
  <si>
    <t>15 days in April,11</t>
  </si>
  <si>
    <t>30 days in April,11</t>
  </si>
  <si>
    <t>15 days in May,11</t>
  </si>
  <si>
    <t>30 days in May,11</t>
  </si>
  <si>
    <t>15 days in June,11</t>
  </si>
  <si>
    <t>30 days in June,11</t>
  </si>
  <si>
    <t>15 days in July,11</t>
  </si>
  <si>
    <t>30 days in July,11</t>
  </si>
  <si>
    <t>15 days in August,11</t>
  </si>
  <si>
    <t>30 days in August,11</t>
  </si>
  <si>
    <t>15 days in September,11</t>
  </si>
  <si>
    <t>30 days in September,11</t>
  </si>
  <si>
    <t>15 days in October,11</t>
  </si>
  <si>
    <t>30 days in Ocober,11</t>
  </si>
  <si>
    <t>15 days in November,11</t>
  </si>
  <si>
    <t>30 days in November,11</t>
  </si>
  <si>
    <t>15 days in Demcember,11</t>
  </si>
  <si>
    <t>30 days in December,11</t>
  </si>
  <si>
    <t>15 days in January,12</t>
  </si>
  <si>
    <t>30 days in January,12</t>
  </si>
  <si>
    <t>15Days in</t>
  </si>
  <si>
    <t>30Days in</t>
  </si>
  <si>
    <t>2/10</t>
  </si>
  <si>
    <t>3/10</t>
  </si>
  <si>
    <t>4/10</t>
  </si>
  <si>
    <t>5/10</t>
  </si>
  <si>
    <t>6/10</t>
  </si>
  <si>
    <t>7/10</t>
  </si>
  <si>
    <t>8/10</t>
  </si>
  <si>
    <t>9/10</t>
  </si>
  <si>
    <t>10/10</t>
  </si>
  <si>
    <t>11/10</t>
  </si>
  <si>
    <t>12/10</t>
  </si>
  <si>
    <t>1/11</t>
  </si>
  <si>
    <t>2/11</t>
  </si>
  <si>
    <t>3/11</t>
  </si>
  <si>
    <t>4/11</t>
  </si>
  <si>
    <t>5/11</t>
  </si>
  <si>
    <t>6/11</t>
  </si>
  <si>
    <t>7/11</t>
  </si>
  <si>
    <t>8/11</t>
  </si>
  <si>
    <t>9/11</t>
  </si>
  <si>
    <t>10/11</t>
  </si>
  <si>
    <t>11/11</t>
  </si>
  <si>
    <t>12/11</t>
  </si>
  <si>
    <t>1/12</t>
  </si>
  <si>
    <t>CSS</t>
  </si>
  <si>
    <t>AAS Arrears</t>
  </si>
  <si>
    <t>Name of the Employee &amp; Designation</t>
  </si>
  <si>
    <t>Employee Id</t>
  </si>
  <si>
    <t>Account No.</t>
  </si>
  <si>
    <t>In words</t>
  </si>
  <si>
    <t>Enter Your already Drawn Pay Raised Dates</t>
  </si>
  <si>
    <t>35202200105291</t>
  </si>
  <si>
    <t>Syndicate Bank Kama Reddy</t>
  </si>
  <si>
    <t>If you are not getting Date formate as DD/MM/YYYY then change your System settings</t>
  </si>
  <si>
    <t>Goto</t>
  </si>
  <si>
    <t xml:space="preserve"> START BUTTON</t>
  </si>
  <si>
    <t>&gt;</t>
  </si>
  <si>
    <t>SETTINGS</t>
  </si>
  <si>
    <t>CONTROL PANNEL</t>
  </si>
  <si>
    <t xml:space="preserve">Time, Date, Language, and Regional Options </t>
  </si>
  <si>
    <t>Short Date format</t>
  </si>
  <si>
    <t>7 Set as</t>
  </si>
  <si>
    <t>dd/mm/yyyy</t>
  </si>
  <si>
    <t xml:space="preserve">                    In the G.O. 1st cited above that Government has modified the Present 8/16/24 Years Automatic Advancement Scheme and introduced 6/12/18/24 Years Automatic Advancement Scheme w.e.f 01.02.2010</t>
  </si>
  <si>
    <t xml:space="preserve">                   Concesqently the Pay refixed at next and Subsequent dates of Increment &amp; Promotion etc as shown below.</t>
  </si>
  <si>
    <t xml:space="preserve">                     Monetary Benefit w.e.f 01/02/2010 to 31/05/2011 Shall be creditted into GPF/ZPGPF/CSS Account of the individual and cash will be paid from 01/06/2011.</t>
  </si>
  <si>
    <t xml:space="preserve">                     Further the individual is informed that if any excess payment is noticed due to erroneous fixation of pay the same will be recovered from the concerned and when deducted by the authorities concerned in during the course of audit without any prior notice and pay will be revised accordingly. The necessary entries taken into the original service register.</t>
  </si>
  <si>
    <t>…………………………………………………………………………………………………..</t>
  </si>
  <si>
    <t>Programmed Developed By: Putta Srinivas Reddy, PRTU Nizamabad, 98490 25860 (www.prtunzb.org)</t>
  </si>
  <si>
    <t>M.Sc</t>
  </si>
  <si>
    <t>M.Com</t>
  </si>
  <si>
    <t>M.A</t>
  </si>
  <si>
    <t>MOST IMPORTENT</t>
  </si>
  <si>
    <t>With Effected From</t>
  </si>
  <si>
    <t>1.G.O.Ms.No. 96. Dt. 20/05/2011</t>
  </si>
  <si>
    <t>2.G.O.(P) No . 52 /Fin and Planning(FW:PC-1) Dept.,Dt. 25/02/2010</t>
  </si>
  <si>
    <t>3.G.O.Ms.No. 38. Dt. 26/05/2007</t>
  </si>
  <si>
    <t>01</t>
  </si>
  <si>
    <t>08</t>
  </si>
  <si>
    <t>2011</t>
  </si>
  <si>
    <t>6700-20110</t>
  </si>
  <si>
    <t>6900-20680</t>
  </si>
  <si>
    <t>7100-21250</t>
  </si>
  <si>
    <t>7520-22430</t>
  </si>
  <si>
    <t>7740-23040</t>
  </si>
  <si>
    <t>7960-23650</t>
  </si>
  <si>
    <t>8440-24950</t>
  </si>
  <si>
    <t>9200-27000</t>
  </si>
  <si>
    <t>9460-27700</t>
  </si>
  <si>
    <t>10020-29200</t>
  </si>
  <si>
    <t>11860-34050</t>
  </si>
  <si>
    <t>12550-35800</t>
  </si>
  <si>
    <t>12910-36700</t>
  </si>
  <si>
    <t>13660-38570</t>
  </si>
  <si>
    <t>16150-42590</t>
  </si>
  <si>
    <t>20680-46960</t>
  </si>
  <si>
    <t>23650-49360</t>
  </si>
  <si>
    <t>25600-50560</t>
  </si>
  <si>
    <t>27000-51760</t>
  </si>
  <si>
    <t>Educational Acadamic Qualification</t>
  </si>
  <si>
    <t xml:space="preserve">Professional Qualification If any </t>
  </si>
  <si>
    <t>Scale of Pay of (6/12/18/24) Years completed Cadre</t>
  </si>
  <si>
    <t>Office of the Officer</t>
  </si>
  <si>
    <t>Gazetted Heasd Master</t>
  </si>
  <si>
    <t xml:space="preserve">Name of the Officer </t>
  </si>
  <si>
    <t>Sri. G.Ravinder Reddy</t>
  </si>
  <si>
    <t xml:space="preserve">AD, Mineing </t>
  </si>
  <si>
    <t>Surveyar</t>
  </si>
  <si>
    <t>SBH Nizamabad</t>
  </si>
  <si>
    <t>2026141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</si>
</sst>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_(* #,##0.0_);_(* \(#,##0.0\);_(* &quot;-&quot;??_);_(@_)"/>
    <numFmt numFmtId="171" formatCode="_(* #,##0_);_(* \(#,##0\);_(* &quot;-&quot;??_);_(@_)"/>
    <numFmt numFmtId="172" formatCode="[$-409]dddd\,\ mmmm\ dd\,\ yyyy"/>
    <numFmt numFmtId="173" formatCode="[$-409]d\-mmm\-yy;@"/>
    <numFmt numFmtId="174" formatCode="[$-409]d\-mmm\-yyyy;@"/>
    <numFmt numFmtId="175" formatCode="[$-409]mmmm\ d\,\ yyyy;@"/>
    <numFmt numFmtId="176" formatCode="[$-1010000]d/m/yyyy;@"/>
    <numFmt numFmtId="177" formatCode="[$-409]h:mm:ss\ AM/PM"/>
    <numFmt numFmtId="178" formatCode="dd/mm/yyyy;@"/>
    <numFmt numFmtId="179" formatCode="d\.m\.yy;@"/>
    <numFmt numFmtId="180" formatCode="[$-1010000]d/m/yy;@"/>
    <numFmt numFmtId="181" formatCode="[$-4010000]d/m/yy;@"/>
    <numFmt numFmtId="182" formatCode="&quot;$&quot;#,##0.00"/>
  </numFmts>
  <fonts count="118">
    <font>
      <sz val="10"/>
      <name val="Times New Roman"/>
      <family val="0"/>
    </font>
    <font>
      <sz val="8"/>
      <name val="Times New Roman"/>
      <family val="1"/>
    </font>
    <font>
      <b/>
      <sz val="11"/>
      <name val="Times New Roman"/>
      <family val="1"/>
    </font>
    <font>
      <sz val="11"/>
      <name val="Times New Roman"/>
      <family val="1"/>
    </font>
    <font>
      <b/>
      <sz val="14"/>
      <name val="Times New Roman"/>
      <family val="1"/>
    </font>
    <font>
      <b/>
      <sz val="12"/>
      <name val="Times New Roman"/>
      <family val="1"/>
    </font>
    <font>
      <b/>
      <sz val="10"/>
      <name val="Times New Roman"/>
      <family val="1"/>
    </font>
    <font>
      <b/>
      <sz val="10"/>
      <color indexed="10"/>
      <name val="Times New Roman"/>
      <family val="1"/>
    </font>
    <font>
      <u val="single"/>
      <sz val="10"/>
      <color indexed="12"/>
      <name val="Times New Roman"/>
      <family val="1"/>
    </font>
    <font>
      <u val="single"/>
      <sz val="10"/>
      <color indexed="36"/>
      <name val="Times New Roman"/>
      <family val="1"/>
    </font>
    <font>
      <b/>
      <sz val="8"/>
      <name val="Times New Roman"/>
      <family val="1"/>
    </font>
    <font>
      <b/>
      <sz val="10"/>
      <name val="Palatino Linotype"/>
      <family val="1"/>
    </font>
    <font>
      <b/>
      <sz val="10"/>
      <name val="Arial"/>
      <family val="2"/>
    </font>
    <font>
      <sz val="8"/>
      <name val="Tahoma"/>
      <family val="2"/>
    </font>
    <font>
      <b/>
      <sz val="11"/>
      <name val="Verdana"/>
      <family val="2"/>
    </font>
    <font>
      <b/>
      <sz val="12"/>
      <name val="Verdana"/>
      <family val="2"/>
    </font>
    <font>
      <b/>
      <sz val="10"/>
      <name val="Verdana"/>
      <family val="2"/>
    </font>
    <font>
      <b/>
      <sz val="11"/>
      <color indexed="12"/>
      <name val="Times New Roman"/>
      <family val="1"/>
    </font>
    <font>
      <b/>
      <sz val="14"/>
      <color indexed="9"/>
      <name val="Times New Roman"/>
      <family val="1"/>
    </font>
    <font>
      <b/>
      <sz val="18"/>
      <color indexed="9"/>
      <name val="Times New Roman"/>
      <family val="1"/>
    </font>
    <font>
      <sz val="12"/>
      <name val="Times New Roman"/>
      <family val="1"/>
    </font>
    <font>
      <b/>
      <sz val="10.5"/>
      <name val="Times New Roman"/>
      <family val="1"/>
    </font>
    <font>
      <sz val="10"/>
      <name val="Arial"/>
      <family val="2"/>
    </font>
    <font>
      <b/>
      <sz val="12"/>
      <name val="Arial"/>
      <family val="2"/>
    </font>
    <font>
      <b/>
      <sz val="10"/>
      <color indexed="12"/>
      <name val="Arial"/>
      <family val="2"/>
    </font>
    <font>
      <b/>
      <sz val="12"/>
      <color indexed="10"/>
      <name val="Arial"/>
      <family val="2"/>
    </font>
    <font>
      <b/>
      <u val="single"/>
      <sz val="11"/>
      <color indexed="14"/>
      <name val="Arial"/>
      <family val="2"/>
    </font>
    <font>
      <sz val="10"/>
      <name val="Bookman Old Style"/>
      <family val="1"/>
    </font>
    <font>
      <sz val="9"/>
      <name val="Arial"/>
      <family val="2"/>
    </font>
    <font>
      <sz val="12"/>
      <name val="Arial"/>
      <family val="2"/>
    </font>
    <font>
      <sz val="14"/>
      <name val="Arial"/>
      <family val="2"/>
    </font>
    <font>
      <sz val="14"/>
      <name val="Bookman Old Style"/>
      <family val="1"/>
    </font>
    <font>
      <sz val="12"/>
      <name val="Bookman Old Style"/>
      <family val="1"/>
    </font>
    <font>
      <sz val="11"/>
      <name val="Bookman Old Style"/>
      <family val="1"/>
    </font>
    <font>
      <sz val="14"/>
      <name val="Times New Roman"/>
      <family val="1"/>
    </font>
    <font>
      <b/>
      <sz val="24"/>
      <color indexed="9"/>
      <name val="Verdana"/>
      <family val="2"/>
    </font>
    <font>
      <sz val="10"/>
      <name val="Copperplate Gothic Bold"/>
      <family val="2"/>
    </font>
    <font>
      <b/>
      <u val="single"/>
      <sz val="15"/>
      <color indexed="9"/>
      <name val="Times New Roman"/>
      <family val="1"/>
    </font>
    <font>
      <sz val="11"/>
      <name val="Arial"/>
      <family val="2"/>
    </font>
    <font>
      <sz val="10"/>
      <name val="Georgia"/>
      <family val="1"/>
    </font>
    <font>
      <sz val="16"/>
      <name val="Bookman Old Style"/>
      <family val="1"/>
    </font>
    <font>
      <sz val="9"/>
      <name val="Bookman Old Style"/>
      <family val="1"/>
    </font>
    <font>
      <sz val="8"/>
      <name val="Bookman Old Style"/>
      <family val="1"/>
    </font>
    <font>
      <u val="single"/>
      <sz val="10"/>
      <name val="Times New Roman"/>
      <family val="1"/>
    </font>
    <font>
      <sz val="9"/>
      <name val="Times New Roman"/>
      <family val="1"/>
    </font>
    <font>
      <u val="single"/>
      <sz val="10"/>
      <name val="Bookman Old Style"/>
      <family val="1"/>
    </font>
    <font>
      <b/>
      <sz val="18"/>
      <name val="Times New Roman"/>
      <family val="1"/>
    </font>
    <font>
      <b/>
      <sz val="24"/>
      <name val="Times New Roman"/>
      <family val="1"/>
    </font>
    <font>
      <b/>
      <u val="single"/>
      <sz val="36"/>
      <color indexed="8"/>
      <name val="Tempus Sans ITC"/>
      <family val="5"/>
    </font>
    <font>
      <b/>
      <sz val="18"/>
      <color indexed="12"/>
      <name val="Times New Roman"/>
      <family val="1"/>
    </font>
    <font>
      <b/>
      <sz val="10"/>
      <name val="Bookman Old Style"/>
      <family val="1"/>
    </font>
    <font>
      <sz val="12"/>
      <name val="Calibri"/>
      <family val="2"/>
    </font>
    <font>
      <sz val="8"/>
      <name val="Calibri"/>
      <family val="2"/>
    </font>
    <font>
      <sz val="7"/>
      <name val="Calibri"/>
      <family val="2"/>
    </font>
    <font>
      <sz val="10"/>
      <name val="Calibri"/>
      <family val="2"/>
    </font>
    <font>
      <b/>
      <sz val="10"/>
      <name val="Calibri"/>
      <family val="2"/>
    </font>
    <font>
      <b/>
      <u val="single"/>
      <sz val="10"/>
      <name val="Calibri"/>
      <family val="2"/>
    </font>
    <font>
      <u val="single"/>
      <sz val="8"/>
      <name val="Calibri"/>
      <family val="2"/>
    </font>
    <font>
      <b/>
      <sz val="11"/>
      <name val="Calibri"/>
      <family val="2"/>
    </font>
    <font>
      <b/>
      <sz val="8"/>
      <name val="Book Antiqua"/>
      <family val="1"/>
    </font>
    <font>
      <b/>
      <sz val="11.5"/>
      <color indexed="10"/>
      <name val="Times New Roman"/>
      <family val="1"/>
    </font>
    <font>
      <b/>
      <sz val="13"/>
      <name val="Times New Roman"/>
      <family val="1"/>
    </font>
    <font>
      <b/>
      <sz val="10"/>
      <color indexed="10"/>
      <name val="Palatino Linotype"/>
      <family val="1"/>
    </font>
    <font>
      <b/>
      <sz val="10"/>
      <color indexed="12"/>
      <name val="Palatino Linotype"/>
      <family val="1"/>
    </font>
    <font>
      <b/>
      <u val="single"/>
      <sz val="36"/>
      <color indexed="12"/>
      <name val="Times New Roman"/>
      <family val="1"/>
    </font>
    <font>
      <b/>
      <u val="single"/>
      <sz val="11"/>
      <name val="Times New Roman"/>
      <family val="1"/>
    </font>
    <font>
      <b/>
      <sz val="14"/>
      <name val="Lucida Sans Typewriter"/>
      <family val="3"/>
    </font>
    <font>
      <b/>
      <sz val="12"/>
      <name val="Baskerville Old Face"/>
      <family val="1"/>
    </font>
    <font>
      <sz val="9"/>
      <name val="Calibri"/>
      <family val="2"/>
    </font>
    <font>
      <u val="single"/>
      <sz val="11"/>
      <name val="Times New Roman"/>
      <family val="1"/>
    </font>
    <font>
      <b/>
      <sz val="12"/>
      <color indexed="12"/>
      <name val="Arial"/>
      <family val="2"/>
    </font>
    <font>
      <b/>
      <u val="single"/>
      <sz val="14"/>
      <name val="Georgia"/>
      <family val="1"/>
    </font>
    <font>
      <sz val="8"/>
      <name val="Palatino Linotype"/>
      <family val="1"/>
    </font>
    <font>
      <u val="single"/>
      <sz val="16"/>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Verdana"/>
      <family val="2"/>
    </font>
    <font>
      <b/>
      <sz val="12"/>
      <color indexed="9"/>
      <name val="Times New Roman"/>
      <family val="1"/>
    </font>
    <font>
      <b/>
      <sz val="16"/>
      <color indexed="9"/>
      <name val="Times New Roman"/>
      <family val="1"/>
    </font>
    <font>
      <b/>
      <sz val="11"/>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12"/>
      <color rgb="FFFF0000"/>
      <name val="Verdana"/>
      <family val="2"/>
    </font>
    <font>
      <b/>
      <sz val="12"/>
      <color theme="0"/>
      <name val="Times New Roman"/>
      <family val="1"/>
    </font>
    <font>
      <b/>
      <sz val="14"/>
      <color theme="0"/>
      <name val="Times New Roman"/>
      <family val="1"/>
    </font>
    <font>
      <b/>
      <sz val="16"/>
      <color theme="0"/>
      <name val="Times New Roman"/>
      <family val="1"/>
    </font>
    <font>
      <b/>
      <sz val="11"/>
      <color theme="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14"/>
        <bgColor indexed="64"/>
      </patternFill>
    </fill>
    <fill>
      <patternFill patternType="solid">
        <fgColor indexed="50"/>
        <bgColor indexed="64"/>
      </patternFill>
    </fill>
    <fill>
      <patternFill patternType="solid">
        <fgColor indexed="56"/>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bgColor indexed="64"/>
      </patternFill>
    </fill>
    <fill>
      <patternFill patternType="solid">
        <fgColor theme="0" tint="-0.1499900072813034"/>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40"/>
        <bgColor indexed="64"/>
      </patternFill>
    </fill>
    <fill>
      <patternFill patternType="solid">
        <fgColor theme="9" tint="-0.24997000396251678"/>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thin"/>
    </border>
    <border>
      <left style="medium"/>
      <right style="medium"/>
      <top style="medium"/>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0" borderId="0" applyNumberFormat="0" applyFill="0" applyBorder="0" applyAlignment="0" applyProtection="0"/>
    <xf numFmtId="0" fontId="9"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8"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22"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812">
    <xf numFmtId="0" fontId="0" fillId="0" borderId="0" xfId="0" applyAlignment="1">
      <alignment/>
    </xf>
    <xf numFmtId="0" fontId="3" fillId="0" borderId="0" xfId="0" applyFont="1" applyAlignment="1">
      <alignment vertical="center"/>
    </xf>
    <xf numFmtId="0" fontId="0" fillId="0" borderId="0" xfId="0" applyFont="1" applyAlignment="1">
      <alignment vertical="center"/>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49" fontId="2" fillId="33" borderId="0" xfId="0" applyNumberFormat="1" applyFont="1" applyFill="1" applyBorder="1" applyAlignment="1" applyProtection="1">
      <alignment vertical="center" wrapText="1"/>
      <protection locked="0"/>
    </xf>
    <xf numFmtId="0" fontId="2"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vertical="center"/>
      <protection locked="0"/>
    </xf>
    <xf numFmtId="49" fontId="5" fillId="34" borderId="11" xfId="0" applyNumberFormat="1" applyFont="1" applyFill="1" applyBorder="1" applyAlignment="1" applyProtection="1">
      <alignment horizontal="center" vertical="center" wrapText="1"/>
      <protection locked="0"/>
    </xf>
    <xf numFmtId="0" fontId="27" fillId="0" borderId="0" xfId="0" applyFont="1" applyAlignment="1">
      <alignment vertical="center"/>
    </xf>
    <xf numFmtId="0" fontId="22" fillId="0" borderId="0" xfId="0" applyFont="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9" fillId="0" borderId="0" xfId="0" applyFont="1" applyAlignment="1">
      <alignment vertical="center"/>
    </xf>
    <xf numFmtId="0" fontId="29" fillId="0" borderId="0" xfId="0" applyFont="1" applyBorder="1" applyAlignment="1">
      <alignment vertical="center"/>
    </xf>
    <xf numFmtId="0" fontId="30" fillId="0" borderId="0" xfId="0" applyFont="1" applyAlignment="1">
      <alignment vertical="center"/>
    </xf>
    <xf numFmtId="0" fontId="32" fillId="0" borderId="0" xfId="0" applyFont="1" applyAlignment="1">
      <alignment vertical="center"/>
    </xf>
    <xf numFmtId="0" fontId="27" fillId="0" borderId="12" xfId="0" applyFont="1" applyBorder="1" applyAlignment="1">
      <alignment vertical="center"/>
    </xf>
    <xf numFmtId="0" fontId="27" fillId="0" borderId="13" xfId="0" applyFont="1" applyBorder="1" applyAlignment="1">
      <alignment vertical="center"/>
    </xf>
    <xf numFmtId="0" fontId="27" fillId="0" borderId="14" xfId="0" applyFont="1" applyBorder="1" applyAlignment="1">
      <alignment vertical="center"/>
    </xf>
    <xf numFmtId="0" fontId="27" fillId="0" borderId="15" xfId="0" applyFont="1" applyBorder="1" applyAlignment="1">
      <alignment vertical="center"/>
    </xf>
    <xf numFmtId="0" fontId="27" fillId="0" borderId="16" xfId="0" applyFont="1" applyBorder="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7" fillId="0" borderId="17" xfId="0" applyFont="1" applyBorder="1" applyAlignment="1">
      <alignment vertical="center"/>
    </xf>
    <xf numFmtId="0" fontId="27" fillId="0" borderId="0" xfId="0" applyFont="1" applyBorder="1" applyAlignment="1">
      <alignment vertical="center"/>
    </xf>
    <xf numFmtId="0" fontId="27" fillId="0" borderId="18" xfId="0" applyFont="1" applyBorder="1" applyAlignment="1">
      <alignment vertical="center"/>
    </xf>
    <xf numFmtId="0" fontId="27" fillId="0" borderId="0" xfId="0" applyFont="1" applyAlignment="1">
      <alignment horizontal="center" vertical="center"/>
    </xf>
    <xf numFmtId="0" fontId="27" fillId="0" borderId="19" xfId="0" applyFont="1" applyBorder="1" applyAlignment="1">
      <alignment vertical="center"/>
    </xf>
    <xf numFmtId="0" fontId="27" fillId="0" borderId="20" xfId="0" applyFont="1" applyBorder="1" applyAlignment="1">
      <alignment vertical="center"/>
    </xf>
    <xf numFmtId="0" fontId="33" fillId="0" borderId="0" xfId="0" applyFont="1" applyAlignment="1">
      <alignment vertical="center"/>
    </xf>
    <xf numFmtId="0" fontId="27" fillId="0" borderId="16" xfId="0" applyFont="1" applyBorder="1" applyAlignment="1">
      <alignment vertical="center"/>
    </xf>
    <xf numFmtId="0" fontId="31" fillId="0" borderId="16" xfId="0" applyFont="1" applyBorder="1" applyAlignment="1">
      <alignment horizontal="center" vertical="center"/>
    </xf>
    <xf numFmtId="0" fontId="0" fillId="35" borderId="0" xfId="0" applyFill="1" applyAlignment="1">
      <alignment/>
    </xf>
    <xf numFmtId="0" fontId="0" fillId="33" borderId="0" xfId="0" applyFill="1" applyAlignment="1">
      <alignment/>
    </xf>
    <xf numFmtId="0" fontId="36" fillId="33" borderId="0" xfId="0" applyFont="1" applyFill="1" applyAlignment="1">
      <alignment/>
    </xf>
    <xf numFmtId="0" fontId="15" fillId="33" borderId="0" xfId="0" applyFont="1" applyFill="1" applyAlignment="1">
      <alignment horizontal="center"/>
    </xf>
    <xf numFmtId="0" fontId="14" fillId="33" borderId="0" xfId="0" applyFont="1" applyFill="1" applyAlignment="1">
      <alignment/>
    </xf>
    <xf numFmtId="0" fontId="15" fillId="33" borderId="0" xfId="0" applyFont="1" applyFill="1" applyAlignment="1">
      <alignment/>
    </xf>
    <xf numFmtId="0" fontId="15" fillId="34" borderId="11" xfId="0" applyFont="1" applyFill="1" applyBorder="1" applyAlignment="1">
      <alignment horizontal="center"/>
    </xf>
    <xf numFmtId="0" fontId="16" fillId="33" borderId="0" xfId="0" applyFont="1" applyFill="1" applyAlignment="1">
      <alignment horizontal="center"/>
    </xf>
    <xf numFmtId="0" fontId="16" fillId="33" borderId="0" xfId="0" applyFont="1" applyFill="1" applyAlignment="1">
      <alignment/>
    </xf>
    <xf numFmtId="0" fontId="15" fillId="33" borderId="0" xfId="0" applyFont="1" applyFill="1" applyBorder="1" applyAlignment="1" applyProtection="1">
      <alignment vertical="top" wrapText="1"/>
      <protection locked="0"/>
    </xf>
    <xf numFmtId="0" fontId="27" fillId="0" borderId="21" xfId="0" applyFont="1" applyBorder="1" applyAlignment="1">
      <alignment horizontal="center" vertical="center"/>
    </xf>
    <xf numFmtId="0" fontId="27" fillId="0" borderId="0" xfId="0" applyFont="1" applyAlignment="1">
      <alignment horizontal="left" vertical="center"/>
    </xf>
    <xf numFmtId="0" fontId="27" fillId="0" borderId="0" xfId="0" applyFont="1" applyAlignment="1">
      <alignment horizontal="center" vertical="center" wrapText="1"/>
    </xf>
    <xf numFmtId="0" fontId="0" fillId="0" borderId="0" xfId="0" applyFont="1" applyAlignment="1">
      <alignment vertical="center"/>
    </xf>
    <xf numFmtId="0" fontId="29" fillId="0" borderId="0" xfId="0" applyFont="1" applyBorder="1" applyAlignment="1">
      <alignment horizontal="center" vertical="center"/>
    </xf>
    <xf numFmtId="0" fontId="38" fillId="0" borderId="0" xfId="0" applyFont="1" applyAlignment="1">
      <alignment vertical="center"/>
    </xf>
    <xf numFmtId="0" fontId="38" fillId="0" borderId="0" xfId="0" applyFont="1" applyAlignment="1">
      <alignment vertical="center" wrapText="1"/>
    </xf>
    <xf numFmtId="0" fontId="27" fillId="0" borderId="0" xfId="0" applyFont="1" applyAlignment="1">
      <alignment/>
    </xf>
    <xf numFmtId="0" fontId="33" fillId="0" borderId="0" xfId="0" applyFont="1" applyAlignment="1">
      <alignment/>
    </xf>
    <xf numFmtId="182" fontId="27" fillId="0" borderId="0" xfId="0" applyNumberFormat="1" applyFont="1" applyAlignment="1">
      <alignment/>
    </xf>
    <xf numFmtId="0" fontId="27" fillId="0" borderId="22" xfId="0" applyFont="1" applyBorder="1" applyAlignment="1">
      <alignment vertical="center"/>
    </xf>
    <xf numFmtId="0" fontId="27" fillId="0" borderId="23" xfId="0" applyFont="1" applyBorder="1" applyAlignment="1">
      <alignment vertical="center"/>
    </xf>
    <xf numFmtId="49" fontId="27" fillId="0" borderId="23" xfId="0" applyNumberFormat="1" applyFont="1" applyBorder="1" applyAlignment="1">
      <alignment vertical="center"/>
    </xf>
    <xf numFmtId="17" fontId="27" fillId="0" borderId="24" xfId="0" applyNumberFormat="1" applyFont="1" applyBorder="1" applyAlignment="1">
      <alignment vertical="center"/>
    </xf>
    <xf numFmtId="1" fontId="27" fillId="0" borderId="16" xfId="0" applyNumberFormat="1" applyFont="1" applyBorder="1" applyAlignment="1">
      <alignment vertical="center"/>
    </xf>
    <xf numFmtId="1" fontId="27" fillId="0" borderId="22" xfId="0" applyNumberFormat="1" applyFont="1" applyBorder="1" applyAlignment="1">
      <alignment vertical="center"/>
    </xf>
    <xf numFmtId="1" fontId="32" fillId="0" borderId="0" xfId="0" applyNumberFormat="1" applyFont="1" applyBorder="1" applyAlignment="1">
      <alignment vertical="center"/>
    </xf>
    <xf numFmtId="0" fontId="27" fillId="0" borderId="13" xfId="0" applyFont="1" applyBorder="1" applyAlignment="1">
      <alignment horizontal="right" vertical="center"/>
    </xf>
    <xf numFmtId="0" fontId="41" fillId="0" borderId="16" xfId="0" applyFont="1" applyBorder="1" applyAlignment="1">
      <alignment vertical="center"/>
    </xf>
    <xf numFmtId="0" fontId="0" fillId="0" borderId="17" xfId="0" applyFont="1" applyBorder="1" applyAlignment="1">
      <alignment horizontal="center"/>
    </xf>
    <xf numFmtId="0" fontId="41" fillId="0" borderId="25" xfId="0" applyFont="1" applyBorder="1" applyAlignment="1">
      <alignment horizontal="center"/>
    </xf>
    <xf numFmtId="0" fontId="27" fillId="0" borderId="0" xfId="0" applyFont="1" applyBorder="1" applyAlignment="1">
      <alignment/>
    </xf>
    <xf numFmtId="0" fontId="27" fillId="0" borderId="19" xfId="0" applyFont="1" applyBorder="1" applyAlignment="1">
      <alignment horizontal="right" vertical="center"/>
    </xf>
    <xf numFmtId="0" fontId="27" fillId="0" borderId="12" xfId="0" applyFont="1" applyBorder="1" applyAlignment="1">
      <alignment horizontal="right" vertical="center"/>
    </xf>
    <xf numFmtId="0" fontId="27" fillId="0" borderId="20" xfId="0" applyFont="1" applyBorder="1" applyAlignment="1">
      <alignment horizontal="right" vertical="center"/>
    </xf>
    <xf numFmtId="0" fontId="27" fillId="0" borderId="25" xfId="0" applyFont="1" applyBorder="1" applyAlignment="1">
      <alignment/>
    </xf>
    <xf numFmtId="0" fontId="27" fillId="0" borderId="0" xfId="0" applyFont="1" applyBorder="1" applyAlignment="1">
      <alignment vertical="center" shrinkToFit="1"/>
    </xf>
    <xf numFmtId="0" fontId="27" fillId="0" borderId="0" xfId="0" applyFont="1" applyAlignment="1">
      <alignment horizontal="right" vertical="center"/>
    </xf>
    <xf numFmtId="40" fontId="27" fillId="0" borderId="0" xfId="0" applyNumberFormat="1" applyFont="1" applyAlignment="1">
      <alignment vertical="center"/>
    </xf>
    <xf numFmtId="49" fontId="27" fillId="0" borderId="0" xfId="0" applyNumberFormat="1" applyFont="1" applyAlignment="1">
      <alignment vertical="center"/>
    </xf>
    <xf numFmtId="0" fontId="27" fillId="0" borderId="0" xfId="0" applyFont="1" applyFill="1" applyBorder="1" applyAlignment="1">
      <alignment/>
    </xf>
    <xf numFmtId="0" fontId="27" fillId="0" borderId="26" xfId="0" applyFont="1" applyBorder="1" applyAlignment="1">
      <alignment/>
    </xf>
    <xf numFmtId="0" fontId="27" fillId="0" borderId="27" xfId="0" applyFont="1" applyBorder="1" applyAlignment="1">
      <alignment/>
    </xf>
    <xf numFmtId="0" fontId="32" fillId="0" borderId="0" xfId="0" applyFont="1" applyAlignment="1">
      <alignment/>
    </xf>
    <xf numFmtId="0" fontId="41" fillId="0" borderId="16" xfId="0" applyFont="1" applyBorder="1" applyAlignment="1">
      <alignment horizontal="center"/>
    </xf>
    <xf numFmtId="0" fontId="0" fillId="0" borderId="25" xfId="0" applyFont="1" applyBorder="1" applyAlignment="1">
      <alignment/>
    </xf>
    <xf numFmtId="0" fontId="27" fillId="0" borderId="21" xfId="0" applyFont="1" applyBorder="1" applyAlignment="1">
      <alignment/>
    </xf>
    <xf numFmtId="2" fontId="27" fillId="0" borderId="25" xfId="0" applyNumberFormat="1" applyFont="1" applyBorder="1" applyAlignment="1">
      <alignment/>
    </xf>
    <xf numFmtId="0" fontId="27" fillId="0" borderId="23" xfId="0" applyFont="1" applyBorder="1" applyAlignment="1">
      <alignment/>
    </xf>
    <xf numFmtId="0" fontId="28" fillId="0" borderId="16" xfId="0" applyFont="1" applyBorder="1" applyAlignment="1">
      <alignment horizontal="center"/>
    </xf>
    <xf numFmtId="0" fontId="43" fillId="0" borderId="0" xfId="0" applyFont="1" applyAlignment="1">
      <alignment/>
    </xf>
    <xf numFmtId="2" fontId="27" fillId="0" borderId="0" xfId="0" applyNumberFormat="1" applyFont="1" applyBorder="1" applyAlignment="1">
      <alignment/>
    </xf>
    <xf numFmtId="0" fontId="31" fillId="0" borderId="0" xfId="0" applyFont="1" applyAlignment="1">
      <alignment/>
    </xf>
    <xf numFmtId="2" fontId="27" fillId="0" borderId="23" xfId="0" applyNumberFormat="1" applyFont="1" applyBorder="1" applyAlignment="1">
      <alignment/>
    </xf>
    <xf numFmtId="0" fontId="41" fillId="0" borderId="16" xfId="0" applyFont="1" applyBorder="1" applyAlignment="1">
      <alignment horizontal="center" vertical="center"/>
    </xf>
    <xf numFmtId="0" fontId="42" fillId="0" borderId="0" xfId="0" applyFont="1" applyBorder="1" applyAlignment="1">
      <alignment vertical="center" wrapText="1"/>
    </xf>
    <xf numFmtId="0" fontId="45" fillId="0" borderId="0" xfId="0" applyFont="1" applyAlignment="1">
      <alignment/>
    </xf>
    <xf numFmtId="0" fontId="41" fillId="0" borderId="0" xfId="0" applyFont="1" applyAlignment="1">
      <alignment/>
    </xf>
    <xf numFmtId="0" fontId="27" fillId="0" borderId="0" xfId="0" applyFont="1" applyAlignment="1">
      <alignment/>
    </xf>
    <xf numFmtId="0" fontId="27" fillId="0" borderId="0" xfId="0" applyFont="1" applyBorder="1" applyAlignment="1">
      <alignment vertical="center" readingOrder="1"/>
    </xf>
    <xf numFmtId="0" fontId="27" fillId="0" borderId="0" xfId="0" applyFont="1" applyAlignment="1">
      <alignment horizontal="left"/>
    </xf>
    <xf numFmtId="0" fontId="43" fillId="0" borderId="0" xfId="0" applyFont="1" applyAlignment="1">
      <alignment vertical="top" wrapText="1"/>
    </xf>
    <xf numFmtId="0" fontId="42" fillId="0" borderId="16" xfId="0" applyFont="1" applyBorder="1" applyAlignment="1">
      <alignment horizontal="center"/>
    </xf>
    <xf numFmtId="0" fontId="45" fillId="0" borderId="0" xfId="0" applyFont="1" applyBorder="1" applyAlignment="1">
      <alignment/>
    </xf>
    <xf numFmtId="0" fontId="41" fillId="0" borderId="0" xfId="0" applyFont="1" applyBorder="1" applyAlignment="1">
      <alignment/>
    </xf>
    <xf numFmtId="0" fontId="41" fillId="0" borderId="22" xfId="0" applyFont="1" applyBorder="1" applyAlignment="1">
      <alignment horizontal="center"/>
    </xf>
    <xf numFmtId="0" fontId="41" fillId="0" borderId="21" xfId="0" applyFont="1" applyBorder="1" applyAlignment="1">
      <alignment horizontal="center"/>
    </xf>
    <xf numFmtId="0" fontId="27" fillId="0" borderId="0" xfId="0" applyFont="1" applyBorder="1" applyAlignment="1">
      <alignment horizontal="right" vertical="center"/>
    </xf>
    <xf numFmtId="0" fontId="27" fillId="0" borderId="0" xfId="0" applyFont="1" applyAlignment="1">
      <alignment horizontal="centerContinuous" vertical="center"/>
    </xf>
    <xf numFmtId="2" fontId="27" fillId="0" borderId="0" xfId="0" applyNumberFormat="1" applyFont="1" applyAlignment="1">
      <alignment/>
    </xf>
    <xf numFmtId="0" fontId="41" fillId="0" borderId="0" xfId="0" applyFont="1" applyAlignment="1">
      <alignment/>
    </xf>
    <xf numFmtId="0" fontId="27" fillId="0" borderId="28" xfId="0" applyFont="1" applyBorder="1" applyAlignment="1">
      <alignment/>
    </xf>
    <xf numFmtId="0" fontId="27" fillId="0" borderId="0" xfId="0" applyFont="1" applyBorder="1" applyAlignment="1">
      <alignment horizontal="center" vertical="center" wrapText="1"/>
    </xf>
    <xf numFmtId="0" fontId="27" fillId="0" borderId="0" xfId="0" applyFont="1" applyBorder="1" applyAlignment="1">
      <alignment horizontal="center" vertical="center" textRotation="90" wrapText="1"/>
    </xf>
    <xf numFmtId="0" fontId="42" fillId="0" borderId="0" xfId="0" applyFont="1" applyBorder="1" applyAlignment="1">
      <alignment horizontal="center"/>
    </xf>
    <xf numFmtId="0" fontId="27" fillId="0" borderId="0" xfId="0" applyFont="1" applyBorder="1" applyAlignment="1">
      <alignment horizontal="center"/>
    </xf>
    <xf numFmtId="0" fontId="50" fillId="0" borderId="0" xfId="0" applyFont="1" applyAlignment="1">
      <alignment textRotation="90"/>
    </xf>
    <xf numFmtId="0" fontId="45" fillId="0" borderId="23" xfId="0" applyFont="1" applyBorder="1" applyAlignment="1">
      <alignment/>
    </xf>
    <xf numFmtId="2" fontId="27" fillId="0" borderId="23" xfId="0" applyNumberFormat="1" applyFont="1" applyBorder="1" applyAlignment="1">
      <alignment/>
    </xf>
    <xf numFmtId="0" fontId="51" fillId="0" borderId="0" xfId="0" applyFont="1" applyAlignment="1">
      <alignment vertical="center" wrapText="1"/>
    </xf>
    <xf numFmtId="0" fontId="52" fillId="0" borderId="0" xfId="0" applyFont="1" applyAlignment="1">
      <alignment horizontal="center" vertical="center" wrapText="1"/>
    </xf>
    <xf numFmtId="0" fontId="52" fillId="0" borderId="0" xfId="0" applyFont="1" applyAlignment="1">
      <alignment vertical="center"/>
    </xf>
    <xf numFmtId="0" fontId="53" fillId="0" borderId="0" xfId="0" applyFont="1" applyAlignment="1">
      <alignment horizontal="center" vertical="center" wrapText="1"/>
    </xf>
    <xf numFmtId="0" fontId="52" fillId="0" borderId="0" xfId="0" applyFont="1" applyAlignment="1">
      <alignment horizontal="right" vertical="center" wrapText="1"/>
    </xf>
    <xf numFmtId="0" fontId="51" fillId="0" borderId="0" xfId="0" applyFont="1" applyAlignment="1">
      <alignment horizontal="center" vertical="center" wrapText="1"/>
    </xf>
    <xf numFmtId="1" fontId="54" fillId="0" borderId="16" xfId="0" applyNumberFormat="1" applyFont="1" applyBorder="1" applyAlignment="1" applyProtection="1">
      <alignment vertical="center" wrapText="1"/>
      <protection hidden="1" locked="0"/>
    </xf>
    <xf numFmtId="0" fontId="52" fillId="0" borderId="0" xfId="0" applyFont="1" applyAlignment="1">
      <alignment vertical="center" wrapText="1"/>
    </xf>
    <xf numFmtId="0" fontId="53" fillId="0" borderId="0" xfId="0" applyFont="1" applyAlignment="1">
      <alignment vertical="center" wrapText="1"/>
    </xf>
    <xf numFmtId="0" fontId="0" fillId="0" borderId="0" xfId="0" applyFont="1" applyFill="1" applyBorder="1" applyAlignment="1">
      <alignment/>
    </xf>
    <xf numFmtId="0" fontId="0" fillId="0" borderId="0" xfId="0" applyFont="1" applyAlignment="1">
      <alignment/>
    </xf>
    <xf numFmtId="0" fontId="44" fillId="0" borderId="0" xfId="0" applyFont="1" applyAlignment="1">
      <alignment/>
    </xf>
    <xf numFmtId="0" fontId="0" fillId="0" borderId="0" xfId="0" applyFont="1" applyAlignment="1">
      <alignment/>
    </xf>
    <xf numFmtId="0" fontId="0" fillId="0" borderId="0" xfId="0" applyFont="1" applyAlignment="1">
      <alignment horizontal="left" vertical="center" indent="4"/>
    </xf>
    <xf numFmtId="0" fontId="15" fillId="33" borderId="0" xfId="0" applyFont="1" applyFill="1" applyBorder="1" applyAlignment="1" applyProtection="1">
      <alignment horizontal="left" vertical="top" wrapText="1"/>
      <protection locked="0"/>
    </xf>
    <xf numFmtId="0" fontId="21"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locked="0"/>
    </xf>
    <xf numFmtId="0" fontId="60" fillId="34" borderId="0" xfId="0" applyFont="1" applyFill="1" applyBorder="1" applyAlignment="1" applyProtection="1">
      <alignment horizontal="center" vertical="center"/>
      <protection locked="0"/>
    </xf>
    <xf numFmtId="0" fontId="60" fillId="34" borderId="14" xfId="0" applyFont="1" applyFill="1" applyBorder="1" applyAlignment="1" applyProtection="1">
      <alignment horizontal="center" vertical="center"/>
      <protection locked="0"/>
    </xf>
    <xf numFmtId="0" fontId="60" fillId="34" borderId="12"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protection hidden="1"/>
    </xf>
    <xf numFmtId="0" fontId="6" fillId="33" borderId="0" xfId="0" applyFont="1" applyFill="1" applyBorder="1" applyAlignment="1" applyProtection="1">
      <alignment vertical="center"/>
      <protection locked="0"/>
    </xf>
    <xf numFmtId="0" fontId="6"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49" fontId="2" fillId="36" borderId="13" xfId="0" applyNumberFormat="1" applyFont="1" applyFill="1" applyBorder="1" applyAlignment="1" applyProtection="1">
      <alignment vertical="center"/>
      <protection locked="0"/>
    </xf>
    <xf numFmtId="49" fontId="2" fillId="36" borderId="17" xfId="0" applyNumberFormat="1" applyFont="1" applyFill="1" applyBorder="1" applyAlignment="1" applyProtection="1">
      <alignment vertical="center"/>
      <protection locked="0"/>
    </xf>
    <xf numFmtId="0" fontId="2" fillId="33" borderId="18" xfId="0" applyFont="1" applyFill="1" applyBorder="1" applyAlignment="1" applyProtection="1">
      <alignment vertical="center"/>
      <protection locked="0"/>
    </xf>
    <xf numFmtId="0" fontId="2" fillId="33" borderId="17" xfId="0" applyFont="1" applyFill="1" applyBorder="1" applyAlignment="1" applyProtection="1">
      <alignment horizontal="left" vertical="center"/>
      <protection locked="0"/>
    </xf>
    <xf numFmtId="0" fontId="17" fillId="33" borderId="0" xfId="0" applyFont="1" applyFill="1" applyBorder="1" applyAlignment="1" applyProtection="1">
      <alignment horizontal="left" vertical="center"/>
      <protection locked="0"/>
    </xf>
    <xf numFmtId="0" fontId="2" fillId="33" borderId="17" xfId="0" applyFont="1" applyFill="1" applyBorder="1" applyAlignment="1" applyProtection="1">
      <alignment horizontal="right" vertical="center" indent="3"/>
      <protection locked="0"/>
    </xf>
    <xf numFmtId="0" fontId="2" fillId="33" borderId="0" xfId="0" applyFont="1" applyFill="1" applyBorder="1" applyAlignment="1" applyProtection="1">
      <alignment horizontal="right" vertical="center" indent="3"/>
      <protection locked="0"/>
    </xf>
    <xf numFmtId="0" fontId="37" fillId="33" borderId="0" xfId="0" applyFont="1" applyFill="1" applyBorder="1" applyAlignment="1" applyProtection="1">
      <alignment vertical="center"/>
      <protection locked="0"/>
    </xf>
    <xf numFmtId="0" fontId="37" fillId="33" borderId="18" xfId="0" applyFont="1" applyFill="1" applyBorder="1" applyAlignment="1" applyProtection="1">
      <alignment vertical="center"/>
      <protection locked="0"/>
    </xf>
    <xf numFmtId="0" fontId="2" fillId="37"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18" fillId="38" borderId="0" xfId="0"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2" fillId="34" borderId="20" xfId="0" applyFont="1" applyFill="1" applyBorder="1" applyAlignment="1" applyProtection="1">
      <alignment vertical="center"/>
      <protection locked="0"/>
    </xf>
    <xf numFmtId="0" fontId="2" fillId="33" borderId="20"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2" fillId="33" borderId="13"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0" fontId="2" fillId="34" borderId="14" xfId="0" applyFont="1" applyFill="1" applyBorder="1" applyAlignment="1" applyProtection="1">
      <alignment vertical="center"/>
      <protection locked="0"/>
    </xf>
    <xf numFmtId="0" fontId="2" fillId="34" borderId="15" xfId="0" applyFont="1" applyFill="1" applyBorder="1" applyAlignment="1" applyProtection="1">
      <alignment vertical="center"/>
      <protection locked="0"/>
    </xf>
    <xf numFmtId="0" fontId="2" fillId="34" borderId="0" xfId="0" applyFont="1" applyFill="1" applyBorder="1" applyAlignment="1" applyProtection="1">
      <alignment vertical="center"/>
      <protection locked="0"/>
    </xf>
    <xf numFmtId="0" fontId="2" fillId="34" borderId="18"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1" fontId="2" fillId="33" borderId="19" xfId="0" applyNumberFormat="1" applyFont="1" applyFill="1" applyBorder="1" applyAlignment="1" applyProtection="1">
      <alignment vertical="center"/>
      <protection locked="0"/>
    </xf>
    <xf numFmtId="1" fontId="2" fillId="33" borderId="12" xfId="0" applyNumberFormat="1" applyFont="1" applyFill="1" applyBorder="1" applyAlignment="1" applyProtection="1">
      <alignment vertical="center"/>
      <protection locked="0"/>
    </xf>
    <xf numFmtId="0" fontId="7" fillId="33" borderId="0" xfId="0" applyFont="1" applyFill="1" applyBorder="1" applyAlignment="1" applyProtection="1">
      <alignment horizontal="center" vertical="center"/>
      <protection locked="0"/>
    </xf>
    <xf numFmtId="0" fontId="6" fillId="33" borderId="17" xfId="0" applyFont="1" applyFill="1" applyBorder="1" applyAlignment="1" applyProtection="1">
      <alignment horizontal="center" vertical="center"/>
      <protection locked="0"/>
    </xf>
    <xf numFmtId="0" fontId="4" fillId="33" borderId="0" xfId="0" applyFont="1" applyFill="1" applyBorder="1" applyAlignment="1" applyProtection="1">
      <alignment vertical="center"/>
      <protection locked="0"/>
    </xf>
    <xf numFmtId="0" fontId="4" fillId="33" borderId="18" xfId="0" applyFont="1" applyFill="1" applyBorder="1" applyAlignment="1" applyProtection="1">
      <alignment vertical="center"/>
      <protection locked="0"/>
    </xf>
    <xf numFmtId="0" fontId="17" fillId="33" borderId="17" xfId="0" applyFont="1" applyFill="1" applyBorder="1" applyAlignment="1" applyProtection="1">
      <alignment horizontal="left" vertical="center"/>
      <protection locked="0"/>
    </xf>
    <xf numFmtId="179" fontId="2" fillId="33" borderId="0" xfId="0" applyNumberFormat="1" applyFont="1" applyFill="1" applyBorder="1" applyAlignment="1" applyProtection="1">
      <alignment horizontal="center" vertical="center"/>
      <protection locked="0"/>
    </xf>
    <xf numFmtId="0" fontId="6" fillId="33" borderId="0" xfId="0" applyFont="1" applyFill="1" applyBorder="1" applyAlignment="1" applyProtection="1">
      <alignment vertical="center" wrapText="1"/>
      <protection locked="0"/>
    </xf>
    <xf numFmtId="49" fontId="2" fillId="33" borderId="17" xfId="0" applyNumberFormat="1" applyFont="1" applyFill="1" applyBorder="1" applyAlignment="1" applyProtection="1">
      <alignment vertical="center" wrapText="1"/>
      <protection locked="0"/>
    </xf>
    <xf numFmtId="0" fontId="6" fillId="33" borderId="18" xfId="0" applyFont="1" applyFill="1" applyBorder="1" applyAlignment="1" applyProtection="1">
      <alignment vertical="center"/>
      <protection locked="0"/>
    </xf>
    <xf numFmtId="49" fontId="2" fillId="36" borderId="19" xfId="0" applyNumberFormat="1" applyFont="1" applyFill="1" applyBorder="1" applyAlignment="1" applyProtection="1">
      <alignment vertical="center"/>
      <protection locked="0"/>
    </xf>
    <xf numFmtId="0" fontId="52" fillId="0" borderId="0" xfId="0" applyFont="1" applyAlignment="1" applyProtection="1">
      <alignment vertical="center"/>
      <protection hidden="1" locked="0"/>
    </xf>
    <xf numFmtId="1" fontId="54" fillId="0" borderId="16" xfId="0" applyNumberFormat="1" applyFont="1" applyBorder="1" applyAlignment="1" applyProtection="1">
      <alignment horizontal="center" vertical="center" wrapText="1"/>
      <protection hidden="1" locked="0"/>
    </xf>
    <xf numFmtId="1" fontId="54" fillId="0" borderId="0" xfId="0" applyNumberFormat="1" applyFont="1" applyAlignment="1" applyProtection="1">
      <alignment vertical="center"/>
      <protection hidden="1" locked="0"/>
    </xf>
    <xf numFmtId="1" fontId="55" fillId="0" borderId="16" xfId="0" applyNumberFormat="1" applyFont="1" applyBorder="1" applyAlignment="1" applyProtection="1">
      <alignment vertical="center" wrapText="1"/>
      <protection hidden="1" locked="0"/>
    </xf>
    <xf numFmtId="1" fontId="55" fillId="0" borderId="0" xfId="0" applyNumberFormat="1" applyFont="1" applyAlignment="1" applyProtection="1">
      <alignment vertical="center"/>
      <protection hidden="1" locked="0"/>
    </xf>
    <xf numFmtId="0" fontId="52" fillId="0" borderId="0" xfId="0" applyFont="1" applyAlignment="1" applyProtection="1">
      <alignment vertical="center" wrapText="1"/>
      <protection hidden="1" locked="0"/>
    </xf>
    <xf numFmtId="0" fontId="53" fillId="0" borderId="0" xfId="0" applyFont="1" applyAlignment="1" applyProtection="1">
      <alignment vertical="center" wrapText="1"/>
      <protection hidden="1" locked="0"/>
    </xf>
    <xf numFmtId="0" fontId="52" fillId="0" borderId="0" xfId="0" applyFont="1" applyAlignment="1" applyProtection="1">
      <alignment horizontal="right" vertical="center" wrapText="1"/>
      <protection hidden="1" locked="0"/>
    </xf>
    <xf numFmtId="0" fontId="51" fillId="0" borderId="0" xfId="0" applyFont="1" applyAlignment="1" applyProtection="1">
      <alignment vertical="center" wrapText="1"/>
      <protection hidden="1" locked="0"/>
    </xf>
    <xf numFmtId="0" fontId="52" fillId="0" borderId="0" xfId="0" applyFont="1" applyAlignment="1" applyProtection="1">
      <alignment horizontal="center" vertical="center" wrapText="1"/>
      <protection hidden="1" locked="0"/>
    </xf>
    <xf numFmtId="0" fontId="56" fillId="0" borderId="0" xfId="0" applyFont="1" applyAlignment="1" applyProtection="1">
      <alignment vertical="center"/>
      <protection hidden="1" locked="0"/>
    </xf>
    <xf numFmtId="168" fontId="56" fillId="0" borderId="0" xfId="0" applyNumberFormat="1" applyFont="1" applyAlignment="1" applyProtection="1">
      <alignment vertical="center"/>
      <protection hidden="1" locked="0"/>
    </xf>
    <xf numFmtId="0" fontId="57" fillId="0" borderId="0" xfId="0" applyFont="1" applyAlignment="1" applyProtection="1">
      <alignment horizontal="right" vertical="center" wrapText="1"/>
      <protection hidden="1" locked="0"/>
    </xf>
    <xf numFmtId="0" fontId="55" fillId="0" borderId="0" xfId="0" applyFont="1" applyAlignment="1" applyProtection="1">
      <alignment vertical="top" wrapText="1"/>
      <protection hidden="1" locked="0"/>
    </xf>
    <xf numFmtId="0" fontId="51" fillId="0" borderId="0" xfId="0" applyFont="1" applyAlignment="1" applyProtection="1">
      <alignment vertical="center"/>
      <protection hidden="1" locked="0"/>
    </xf>
    <xf numFmtId="0" fontId="55" fillId="0" borderId="0" xfId="0" applyFont="1" applyAlignment="1" applyProtection="1">
      <alignment vertical="center" wrapText="1"/>
      <protection hidden="1" locked="0"/>
    </xf>
    <xf numFmtId="0" fontId="55" fillId="0" borderId="0" xfId="0" applyFont="1" applyAlignment="1" applyProtection="1">
      <alignment horizontal="right" vertical="center" wrapText="1"/>
      <protection hidden="1" locked="0"/>
    </xf>
    <xf numFmtId="0" fontId="55" fillId="0" borderId="0" xfId="0" applyFont="1" applyAlignment="1" applyProtection="1">
      <alignment vertical="center"/>
      <protection hidden="1" locked="0"/>
    </xf>
    <xf numFmtId="0" fontId="55" fillId="0" borderId="0" xfId="0" applyFont="1" applyAlignment="1" applyProtection="1">
      <alignment horizontal="center" vertical="center" wrapText="1"/>
      <protection hidden="1" locked="0"/>
    </xf>
    <xf numFmtId="0" fontId="2" fillId="33" borderId="10" xfId="0" applyFont="1" applyFill="1" applyBorder="1" applyAlignment="1" applyProtection="1">
      <alignment horizontal="left" vertical="center"/>
      <protection locked="0"/>
    </xf>
    <xf numFmtId="0" fontId="2" fillId="33" borderId="11" xfId="0" applyFont="1" applyFill="1" applyBorder="1" applyAlignment="1" applyProtection="1">
      <alignment horizontal="left" vertical="center"/>
      <protection locked="0"/>
    </xf>
    <xf numFmtId="0" fontId="2" fillId="33" borderId="0" xfId="0" applyFont="1" applyFill="1" applyBorder="1" applyAlignment="1" applyProtection="1">
      <alignment horizontal="center" vertical="center" wrapText="1"/>
      <protection locked="0"/>
    </xf>
    <xf numFmtId="0" fontId="2" fillId="33" borderId="17"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right" vertical="center" wrapText="1"/>
      <protection locked="0"/>
    </xf>
    <xf numFmtId="0" fontId="2" fillId="33" borderId="0" xfId="0" applyNumberFormat="1" applyFont="1" applyFill="1" applyAlignment="1" applyProtection="1">
      <alignment vertical="center"/>
      <protection locked="0"/>
    </xf>
    <xf numFmtId="0" fontId="2" fillId="33" borderId="0" xfId="0" applyFont="1" applyFill="1" applyBorder="1" applyAlignment="1" applyProtection="1">
      <alignment vertical="center" wrapText="1"/>
      <protection locked="0"/>
    </xf>
    <xf numFmtId="0" fontId="2" fillId="33" borderId="29" xfId="0" applyFont="1" applyFill="1" applyBorder="1" applyAlignment="1" applyProtection="1">
      <alignment horizontal="left" vertical="center"/>
      <protection locked="0"/>
    </xf>
    <xf numFmtId="0" fontId="2" fillId="33" borderId="30" xfId="0" applyFont="1" applyFill="1" applyBorder="1" applyAlignment="1" applyProtection="1">
      <alignment horizontal="left" vertical="center"/>
      <protection locked="0"/>
    </xf>
    <xf numFmtId="0" fontId="2" fillId="33" borderId="17" xfId="0" applyFont="1" applyFill="1" applyBorder="1" applyAlignment="1" applyProtection="1">
      <alignment horizontal="center" vertical="center"/>
      <protection locked="0"/>
    </xf>
    <xf numFmtId="0" fontId="37" fillId="33" borderId="17" xfId="0" applyFont="1" applyFill="1" applyBorder="1" applyAlignment="1" applyProtection="1">
      <alignment vertical="center"/>
      <protection locked="0"/>
    </xf>
    <xf numFmtId="0" fontId="2" fillId="33" borderId="30" xfId="0" applyFont="1" applyFill="1" applyBorder="1" applyAlignment="1" applyProtection="1">
      <alignment horizontal="right" vertical="center" wrapText="1"/>
      <protection locked="0"/>
    </xf>
    <xf numFmtId="0" fontId="65" fillId="33" borderId="10" xfId="0" applyFont="1" applyFill="1" applyBorder="1" applyAlignment="1" applyProtection="1">
      <alignment vertical="center"/>
      <protection locked="0"/>
    </xf>
    <xf numFmtId="0" fontId="65" fillId="33" borderId="18" xfId="0" applyFont="1" applyFill="1" applyBorder="1" applyAlignment="1" applyProtection="1">
      <alignment vertical="center"/>
      <protection locked="0"/>
    </xf>
    <xf numFmtId="0" fontId="2" fillId="33" borderId="11" xfId="0" applyFont="1" applyFill="1" applyBorder="1" applyAlignment="1" applyProtection="1">
      <alignment horizontal="center" vertical="center"/>
      <protection locked="0"/>
    </xf>
    <xf numFmtId="0" fontId="2" fillId="39" borderId="11" xfId="0" applyFont="1" applyFill="1" applyBorder="1" applyAlignment="1" applyProtection="1">
      <alignment horizontal="center" vertical="center"/>
      <protection locked="0"/>
    </xf>
    <xf numFmtId="0" fontId="2" fillId="39" borderId="11" xfId="0" applyFont="1" applyFill="1" applyBorder="1" applyAlignment="1" applyProtection="1">
      <alignment horizontal="right" vertical="center" wrapText="1"/>
      <protection locked="0"/>
    </xf>
    <xf numFmtId="0" fontId="6" fillId="0" borderId="0" xfId="0" applyFont="1" applyFill="1" applyBorder="1" applyAlignment="1">
      <alignment horizontal="left" vertical="center"/>
    </xf>
    <xf numFmtId="0" fontId="62" fillId="0" borderId="0" xfId="0" applyFont="1" applyFill="1" applyBorder="1" applyAlignment="1">
      <alignment horizontal="left" vertical="center"/>
    </xf>
    <xf numFmtId="0" fontId="63" fillId="0" borderId="0" xfId="0" applyFont="1" applyFill="1" applyBorder="1" applyAlignment="1">
      <alignment horizontal="left" vertical="center"/>
    </xf>
    <xf numFmtId="0" fontId="11" fillId="0" borderId="0" xfId="0" applyFont="1" applyFill="1" applyBorder="1" applyAlignment="1">
      <alignment horizontal="left" vertical="center"/>
    </xf>
    <xf numFmtId="0" fontId="2" fillId="0" borderId="0" xfId="0" applyFont="1" applyFill="1" applyBorder="1" applyAlignment="1" applyProtection="1">
      <alignment horizontal="left" vertical="center"/>
      <protection hidden="1" locked="0"/>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hidden="1"/>
    </xf>
    <xf numFmtId="0" fontId="22" fillId="0" borderId="0" xfId="0" applyFont="1" applyFill="1" applyBorder="1" applyAlignment="1" applyProtection="1">
      <alignment horizontal="left" vertical="center"/>
      <protection hidden="1"/>
    </xf>
    <xf numFmtId="0" fontId="6" fillId="0" borderId="0" xfId="0" applyNumberFormat="1" applyFont="1" applyFill="1" applyBorder="1" applyAlignment="1">
      <alignment horizontal="left" vertical="center"/>
    </xf>
    <xf numFmtId="0" fontId="0" fillId="0" borderId="0" xfId="0" applyFill="1" applyBorder="1" applyAlignment="1">
      <alignment horizontal="left" vertical="center"/>
    </xf>
    <xf numFmtId="1"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0" fontId="0" fillId="0" borderId="0" xfId="0" applyFont="1" applyFill="1" applyBorder="1" applyAlignment="1" applyProtection="1">
      <alignment horizontal="left" vertical="center"/>
      <protection hidden="1"/>
    </xf>
    <xf numFmtId="0" fontId="0" fillId="0" borderId="0" xfId="0" applyFill="1" applyBorder="1" applyAlignment="1" applyProtection="1">
      <alignment horizontal="right" vertical="center"/>
      <protection hidden="1"/>
    </xf>
    <xf numFmtId="0" fontId="6" fillId="0" borderId="0" xfId="0" applyNumberFormat="1" applyFont="1" applyFill="1" applyBorder="1" applyAlignment="1">
      <alignment horizontal="right" vertical="center"/>
    </xf>
    <xf numFmtId="0" fontId="6" fillId="0" borderId="16" xfId="0" applyFont="1" applyBorder="1" applyAlignment="1">
      <alignment/>
    </xf>
    <xf numFmtId="0" fontId="6" fillId="0" borderId="0" xfId="0" applyNumberFormat="1" applyFont="1" applyAlignment="1">
      <alignment/>
    </xf>
    <xf numFmtId="17" fontId="6" fillId="0" borderId="0" xfId="0" applyNumberFormat="1" applyFont="1" applyFill="1" applyBorder="1" applyAlignment="1">
      <alignment horizontal="left" vertical="center"/>
    </xf>
    <xf numFmtId="0" fontId="6" fillId="40" borderId="0" xfId="0" applyNumberFormat="1" applyFont="1" applyFill="1" applyBorder="1" applyAlignment="1">
      <alignment horizontal="left" vertical="center"/>
    </xf>
    <xf numFmtId="17" fontId="54" fillId="0" borderId="16" xfId="0" applyNumberFormat="1" applyFont="1" applyBorder="1" applyAlignment="1" applyProtection="1">
      <alignment horizontal="left" vertical="center" wrapText="1"/>
      <protection hidden="1" locked="0"/>
    </xf>
    <xf numFmtId="0" fontId="1" fillId="0" borderId="16" xfId="0" applyFont="1" applyBorder="1" applyAlignment="1" applyProtection="1">
      <alignment horizontal="center" vertical="center" wrapText="1"/>
      <protection hidden="1" locked="0"/>
    </xf>
    <xf numFmtId="0" fontId="1" fillId="0" borderId="16" xfId="0" applyFont="1" applyBorder="1" applyAlignment="1" applyProtection="1">
      <alignment horizontal="center" vertical="center" textRotation="90" wrapText="1"/>
      <protection hidden="1" locked="0"/>
    </xf>
    <xf numFmtId="0" fontId="1" fillId="0" borderId="0" xfId="0" applyFont="1" applyAlignment="1" applyProtection="1">
      <alignment vertical="center"/>
      <protection hidden="1" locked="0"/>
    </xf>
    <xf numFmtId="0" fontId="4" fillId="33" borderId="13" xfId="0" applyFont="1" applyFill="1" applyBorder="1" applyAlignment="1" applyProtection="1">
      <alignment horizontal="center" vertical="center"/>
      <protection locked="0"/>
    </xf>
    <xf numFmtId="0" fontId="5" fillId="39"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center" vertical="center" wrapText="1"/>
      <protection locked="0"/>
    </xf>
    <xf numFmtId="0" fontId="2" fillId="34" borderId="0" xfId="0" applyFont="1" applyFill="1" applyBorder="1" applyAlignment="1" applyProtection="1">
      <alignment horizontal="center" vertical="center"/>
      <protection locked="0"/>
    </xf>
    <xf numFmtId="0" fontId="2" fillId="34" borderId="18" xfId="0" applyFont="1" applyFill="1" applyBorder="1" applyAlignment="1" applyProtection="1">
      <alignment horizontal="center" vertical="center"/>
      <protection locked="0"/>
    </xf>
    <xf numFmtId="1" fontId="68" fillId="0" borderId="16" xfId="0" applyNumberFormat="1" applyFont="1" applyBorder="1" applyAlignment="1" applyProtection="1">
      <alignment horizontal="center" vertical="center" wrapText="1"/>
      <protection hidden="1" locked="0"/>
    </xf>
    <xf numFmtId="0" fontId="0" fillId="0" borderId="0" xfId="0" applyAlignment="1">
      <alignment vertical="center"/>
    </xf>
    <xf numFmtId="0" fontId="0" fillId="0" borderId="0" xfId="0" applyFill="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70" fillId="0" borderId="0" xfId="0" applyFont="1" applyFill="1" applyBorder="1" applyAlignment="1" applyProtection="1">
      <alignment horizontal="left" vertical="center"/>
      <protection hidden="1"/>
    </xf>
    <xf numFmtId="0" fontId="23" fillId="0" borderId="0" xfId="0" applyFont="1" applyFill="1" applyBorder="1" applyAlignment="1" applyProtection="1">
      <alignment horizontal="center" vertical="center"/>
      <protection hidden="1"/>
    </xf>
    <xf numFmtId="1" fontId="23" fillId="0" borderId="0" xfId="0" applyNumberFormat="1" applyFont="1" applyFill="1" applyBorder="1" applyAlignment="1" applyProtection="1">
      <alignment horizontal="center" vertical="center"/>
      <protection/>
    </xf>
    <xf numFmtId="0" fontId="23" fillId="0" borderId="0" xfId="0" applyFont="1" applyFill="1" applyBorder="1" applyAlignment="1" applyProtection="1">
      <alignment horizontal="left" vertical="center"/>
      <protection/>
    </xf>
    <xf numFmtId="0" fontId="6" fillId="0" borderId="0" xfId="0" applyNumberFormat="1" applyFont="1" applyAlignment="1">
      <alignment horizontal="center"/>
    </xf>
    <xf numFmtId="0" fontId="6" fillId="0" borderId="0" xfId="0" applyNumberFormat="1" applyFont="1" applyFill="1" applyAlignment="1">
      <alignment/>
    </xf>
    <xf numFmtId="0" fontId="6" fillId="0" borderId="0" xfId="0" applyNumberFormat="1" applyFont="1" applyAlignment="1">
      <alignment horizontal="left"/>
    </xf>
    <xf numFmtId="0" fontId="6" fillId="0" borderId="0" xfId="0" applyNumberFormat="1" applyFont="1" applyFill="1" applyBorder="1" applyAlignment="1">
      <alignment/>
    </xf>
    <xf numFmtId="0" fontId="112" fillId="39" borderId="31" xfId="0" applyNumberFormat="1" applyFont="1" applyFill="1" applyBorder="1" applyAlignment="1">
      <alignment horizontal="left" vertical="center"/>
    </xf>
    <xf numFmtId="0" fontId="112" fillId="39" borderId="32" xfId="0" applyNumberFormat="1" applyFont="1" applyFill="1" applyBorder="1" applyAlignment="1">
      <alignment/>
    </xf>
    <xf numFmtId="0" fontId="112" fillId="39" borderId="0" xfId="0" applyNumberFormat="1" applyFont="1" applyFill="1" applyBorder="1" applyAlignment="1">
      <alignment horizontal="left" vertical="center"/>
    </xf>
    <xf numFmtId="0" fontId="112" fillId="41" borderId="13" xfId="0" applyNumberFormat="1" applyFont="1" applyFill="1" applyBorder="1" applyAlignment="1">
      <alignment horizontal="left" vertical="center"/>
    </xf>
    <xf numFmtId="0" fontId="112" fillId="41" borderId="15" xfId="0" applyNumberFormat="1" applyFont="1" applyFill="1" applyBorder="1" applyAlignment="1">
      <alignment horizontal="left" vertical="center"/>
    </xf>
    <xf numFmtId="0" fontId="112" fillId="41" borderId="17" xfId="0" applyNumberFormat="1" applyFont="1" applyFill="1" applyBorder="1" applyAlignment="1">
      <alignment horizontal="left" vertical="center"/>
    </xf>
    <xf numFmtId="0" fontId="112" fillId="41" borderId="18" xfId="0" applyNumberFormat="1" applyFont="1" applyFill="1" applyBorder="1" applyAlignment="1">
      <alignment horizontal="left" vertical="center"/>
    </xf>
    <xf numFmtId="0" fontId="112" fillId="41" borderId="19" xfId="0" applyNumberFormat="1" applyFont="1" applyFill="1" applyBorder="1" applyAlignment="1">
      <alignment horizontal="left" vertical="center"/>
    </xf>
    <xf numFmtId="0" fontId="112" fillId="41" borderId="20" xfId="0" applyNumberFormat="1" applyFont="1" applyFill="1" applyBorder="1" applyAlignment="1">
      <alignment horizontal="left" vertical="center"/>
    </xf>
    <xf numFmtId="0" fontId="6" fillId="42" borderId="17" xfId="0" applyNumberFormat="1" applyFont="1" applyFill="1" applyBorder="1" applyAlignment="1">
      <alignment horizontal="left" vertical="center"/>
    </xf>
    <xf numFmtId="0" fontId="6" fillId="42" borderId="18" xfId="0" applyNumberFormat="1" applyFont="1" applyFill="1" applyBorder="1" applyAlignment="1">
      <alignment horizontal="left" vertical="center"/>
    </xf>
    <xf numFmtId="0" fontId="6" fillId="42" borderId="19" xfId="0" applyNumberFormat="1" applyFont="1" applyFill="1" applyBorder="1" applyAlignment="1">
      <alignment horizontal="left" vertical="center"/>
    </xf>
    <xf numFmtId="0" fontId="6" fillId="42" borderId="20" xfId="0" applyNumberFormat="1" applyFont="1" applyFill="1" applyBorder="1" applyAlignment="1">
      <alignment horizontal="left" vertical="center"/>
    </xf>
    <xf numFmtId="0" fontId="6" fillId="0" borderId="13"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0" fontId="6" fillId="0" borderId="15" xfId="0" applyNumberFormat="1" applyFont="1" applyFill="1" applyBorder="1" applyAlignment="1">
      <alignment horizontal="left" vertical="center"/>
    </xf>
    <xf numFmtId="0" fontId="6" fillId="0" borderId="17" xfId="0" applyNumberFormat="1" applyFont="1" applyFill="1" applyBorder="1" applyAlignment="1">
      <alignment horizontal="left" vertical="center"/>
    </xf>
    <xf numFmtId="0" fontId="6" fillId="0" borderId="18" xfId="0" applyNumberFormat="1" applyFont="1" applyFill="1" applyBorder="1" applyAlignment="1">
      <alignment horizontal="left" vertical="center"/>
    </xf>
    <xf numFmtId="0" fontId="6" fillId="0" borderId="19" xfId="0" applyNumberFormat="1" applyFont="1" applyFill="1" applyBorder="1" applyAlignment="1">
      <alignment horizontal="left" vertical="center"/>
    </xf>
    <xf numFmtId="0" fontId="6" fillId="0" borderId="12" xfId="0" applyNumberFormat="1" applyFont="1" applyFill="1" applyBorder="1" applyAlignment="1">
      <alignment horizontal="left" vertical="center"/>
    </xf>
    <xf numFmtId="0" fontId="6" fillId="0" borderId="20" xfId="0" applyNumberFormat="1" applyFont="1" applyFill="1" applyBorder="1" applyAlignment="1">
      <alignment horizontal="left" vertical="center"/>
    </xf>
    <xf numFmtId="1" fontId="52" fillId="0" borderId="16" xfId="0" applyNumberFormat="1" applyFont="1" applyBorder="1" applyAlignment="1" applyProtection="1">
      <alignment horizontal="center" vertical="center" wrapText="1"/>
      <protection hidden="1" locked="0"/>
    </xf>
    <xf numFmtId="0" fontId="6" fillId="42" borderId="13" xfId="0" applyNumberFormat="1" applyFont="1" applyFill="1" applyBorder="1" applyAlignment="1">
      <alignment horizontal="left" vertical="center"/>
    </xf>
    <xf numFmtId="0" fontId="6" fillId="42" borderId="14" xfId="0" applyNumberFormat="1" applyFont="1" applyFill="1" applyBorder="1" applyAlignment="1">
      <alignment horizontal="left" vertical="center"/>
    </xf>
    <xf numFmtId="0" fontId="6" fillId="42" borderId="15" xfId="0" applyNumberFormat="1" applyFont="1" applyFill="1" applyBorder="1" applyAlignment="1">
      <alignment horizontal="left" vertical="center"/>
    </xf>
    <xf numFmtId="14" fontId="6" fillId="42" borderId="0" xfId="0" applyNumberFormat="1" applyFont="1" applyFill="1" applyBorder="1" applyAlignment="1">
      <alignment horizontal="left" vertical="center"/>
    </xf>
    <xf numFmtId="0" fontId="6" fillId="42" borderId="0" xfId="0" applyNumberFormat="1" applyFont="1" applyFill="1" applyBorder="1" applyAlignment="1">
      <alignment horizontal="left" vertical="center"/>
    </xf>
    <xf numFmtId="0" fontId="6" fillId="42" borderId="12" xfId="0" applyNumberFormat="1" applyFont="1" applyFill="1" applyBorder="1" applyAlignment="1">
      <alignment horizontal="left" vertical="center"/>
    </xf>
    <xf numFmtId="0" fontId="4" fillId="34" borderId="17"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locked="0"/>
    </xf>
    <xf numFmtId="49" fontId="6"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left" vertical="center"/>
      <protection hidden="1" locked="0"/>
    </xf>
    <xf numFmtId="49" fontId="2" fillId="0" borderId="0" xfId="0" applyNumberFormat="1" applyFont="1" applyFill="1" applyBorder="1" applyAlignment="1" applyProtection="1">
      <alignment horizontal="left" vertical="center"/>
      <protection/>
    </xf>
    <xf numFmtId="49" fontId="11" fillId="0" borderId="0" xfId="0" applyNumberFormat="1" applyFont="1" applyFill="1" applyBorder="1" applyAlignment="1">
      <alignment horizontal="left" vertical="center"/>
    </xf>
    <xf numFmtId="1" fontId="52" fillId="0" borderId="16" xfId="0" applyNumberFormat="1" applyFont="1" applyBorder="1" applyAlignment="1" applyProtection="1">
      <alignment vertical="center" wrapText="1"/>
      <protection hidden="1" locked="0"/>
    </xf>
    <xf numFmtId="0" fontId="27" fillId="0" borderId="16" xfId="0" applyFont="1" applyBorder="1" applyAlignment="1">
      <alignment vertical="center" wrapText="1"/>
    </xf>
    <xf numFmtId="0" fontId="27" fillId="0" borderId="0" xfId="0" applyFont="1" applyAlignment="1">
      <alignment vertical="center" wrapText="1"/>
    </xf>
    <xf numFmtId="1" fontId="32" fillId="0" borderId="28" xfId="0" applyNumberFormat="1" applyFont="1" applyBorder="1" applyAlignment="1">
      <alignment vertical="center" wrapText="1"/>
    </xf>
    <xf numFmtId="2" fontId="32" fillId="0" borderId="25" xfId="0" applyNumberFormat="1" applyFont="1" applyBorder="1" applyAlignment="1">
      <alignment vertical="center" wrapText="1"/>
    </xf>
    <xf numFmtId="2" fontId="32" fillId="0" borderId="33" xfId="0" applyNumberFormat="1" applyFont="1" applyBorder="1" applyAlignment="1">
      <alignment vertical="center" wrapText="1"/>
    </xf>
    <xf numFmtId="0" fontId="27" fillId="0" borderId="0" xfId="0" applyFont="1" applyAlignment="1">
      <alignment horizontal="center" vertical="center" shrinkToFit="1"/>
    </xf>
    <xf numFmtId="0" fontId="50" fillId="0" borderId="28" xfId="0" applyFont="1" applyBorder="1" applyAlignment="1">
      <alignment vertical="center"/>
    </xf>
    <xf numFmtId="0" fontId="50" fillId="0" borderId="25" xfId="0" applyFont="1" applyBorder="1" applyAlignment="1">
      <alignment vertical="center"/>
    </xf>
    <xf numFmtId="0" fontId="50" fillId="0" borderId="33" xfId="0" applyFont="1" applyBorder="1" applyAlignment="1">
      <alignment vertical="center"/>
    </xf>
    <xf numFmtId="0" fontId="27" fillId="0" borderId="28" xfId="0" applyFont="1" applyBorder="1" applyAlignment="1">
      <alignment vertical="center"/>
    </xf>
    <xf numFmtId="0" fontId="27" fillId="0" borderId="25" xfId="0" applyFont="1" applyBorder="1" applyAlignment="1">
      <alignment vertical="center"/>
    </xf>
    <xf numFmtId="0" fontId="27" fillId="0" borderId="33" xfId="0" applyFont="1" applyBorder="1" applyAlignment="1">
      <alignment vertical="center"/>
    </xf>
    <xf numFmtId="0" fontId="2" fillId="33" borderId="11" xfId="0" applyFont="1" applyFill="1" applyBorder="1" applyAlignment="1" applyProtection="1">
      <alignment vertical="center"/>
      <protection/>
    </xf>
    <xf numFmtId="0" fontId="6" fillId="34" borderId="29" xfId="0" applyFont="1" applyFill="1" applyBorder="1" applyAlignment="1" applyProtection="1">
      <alignment vertical="center"/>
      <protection/>
    </xf>
    <xf numFmtId="0" fontId="6" fillId="34" borderId="3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 fontId="2" fillId="34" borderId="29" xfId="0" applyNumberFormat="1" applyFont="1" applyFill="1" applyBorder="1" applyAlignment="1" applyProtection="1">
      <alignment vertical="center"/>
      <protection/>
    </xf>
    <xf numFmtId="1" fontId="2" fillId="34" borderId="30" xfId="0" applyNumberFormat="1" applyFont="1" applyFill="1" applyBorder="1" applyAlignment="1" applyProtection="1">
      <alignment vertical="center"/>
      <protection/>
    </xf>
    <xf numFmtId="1" fontId="2" fillId="34" borderId="10" xfId="0" applyNumberFormat="1"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4" borderId="12" xfId="0" applyFont="1" applyFill="1" applyBorder="1" applyAlignment="1" applyProtection="1">
      <alignment vertical="center"/>
      <protection/>
    </xf>
    <xf numFmtId="179" fontId="2" fillId="33" borderId="0" xfId="0" applyNumberFormat="1" applyFont="1" applyFill="1" applyBorder="1" applyAlignment="1" applyProtection="1">
      <alignment horizontal="center" vertical="center"/>
      <protection/>
    </xf>
    <xf numFmtId="0" fontId="17" fillId="33" borderId="17" xfId="0" applyFont="1" applyFill="1" applyBorder="1" applyAlignment="1" applyProtection="1">
      <alignment horizontal="left" vertical="center"/>
      <protection/>
    </xf>
    <xf numFmtId="0" fontId="61" fillId="34" borderId="17" xfId="0" applyFont="1" applyFill="1" applyBorder="1" applyAlignment="1" applyProtection="1">
      <alignment vertical="center" wrapText="1"/>
      <protection/>
    </xf>
    <xf numFmtId="0" fontId="61" fillId="34" borderId="0" xfId="0" applyFont="1" applyFill="1" applyBorder="1" applyAlignment="1" applyProtection="1">
      <alignment vertical="center" wrapText="1"/>
      <protection/>
    </xf>
    <xf numFmtId="0" fontId="5" fillId="34" borderId="17" xfId="0" applyFont="1" applyFill="1" applyBorder="1" applyAlignment="1" applyProtection="1">
      <alignment vertical="center"/>
      <protection/>
    </xf>
    <xf numFmtId="0" fontId="15" fillId="33" borderId="0" xfId="0" applyFont="1" applyFill="1" applyAlignment="1">
      <alignment horizontal="center" vertical="center"/>
    </xf>
    <xf numFmtId="49" fontId="2" fillId="36" borderId="0" xfId="0" applyNumberFormat="1" applyFont="1" applyFill="1" applyBorder="1" applyAlignment="1" applyProtection="1">
      <alignment vertical="center"/>
      <protection/>
    </xf>
    <xf numFmtId="0" fontId="2" fillId="33" borderId="0" xfId="0" applyFont="1" applyFill="1" applyAlignment="1" applyProtection="1">
      <alignment horizontal="left" vertical="center"/>
      <protection/>
    </xf>
    <xf numFmtId="49" fontId="2" fillId="33" borderId="0" xfId="0" applyNumberFormat="1" applyFont="1" applyFill="1" applyBorder="1" applyAlignment="1" applyProtection="1">
      <alignment vertical="center"/>
      <protection/>
    </xf>
    <xf numFmtId="0" fontId="2" fillId="33" borderId="0" xfId="0" applyFont="1" applyFill="1" applyAlignment="1" applyProtection="1">
      <alignment vertical="center"/>
      <protection/>
    </xf>
    <xf numFmtId="0" fontId="5" fillId="33" borderId="0" xfId="0" applyFont="1" applyFill="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0" fontId="14" fillId="0" borderId="0" xfId="0" applyFont="1" applyAlignment="1" applyProtection="1">
      <alignment vertical="center"/>
      <protection/>
    </xf>
    <xf numFmtId="0" fontId="2" fillId="36" borderId="0" xfId="0" applyNumberFormat="1" applyFont="1" applyFill="1" applyBorder="1" applyAlignment="1" applyProtection="1">
      <alignment vertical="center"/>
      <protection/>
    </xf>
    <xf numFmtId="0" fontId="2" fillId="33" borderId="0" xfId="0" applyNumberFormat="1" applyFont="1" applyFill="1" applyAlignment="1" applyProtection="1">
      <alignment horizontal="left" vertical="center"/>
      <protection/>
    </xf>
    <xf numFmtId="0" fontId="2" fillId="33" borderId="0" xfId="0" applyNumberFormat="1" applyFont="1" applyFill="1" applyBorder="1" applyAlignment="1" applyProtection="1">
      <alignment vertical="center"/>
      <protection/>
    </xf>
    <xf numFmtId="0" fontId="2" fillId="33" borderId="0" xfId="0" applyNumberFormat="1" applyFont="1" applyFill="1" applyAlignment="1" applyProtection="1">
      <alignment vertical="center"/>
      <protection/>
    </xf>
    <xf numFmtId="0" fontId="5" fillId="33" borderId="0" xfId="0" applyNumberFormat="1" applyFont="1" applyFill="1" applyAlignment="1" applyProtection="1">
      <alignmen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horizontal="center" vertical="center"/>
      <protection/>
    </xf>
    <xf numFmtId="0" fontId="14" fillId="0" borderId="0" xfId="0" applyNumberFormat="1" applyFont="1" applyAlignment="1" applyProtection="1">
      <alignment vertical="center"/>
      <protection/>
    </xf>
    <xf numFmtId="0" fontId="2" fillId="0" borderId="0" xfId="0" applyNumberFormat="1" applyFont="1" applyAlignment="1" applyProtection="1">
      <alignment horizontal="left" vertical="center"/>
      <protection/>
    </xf>
    <xf numFmtId="176" fontId="2" fillId="0" borderId="0" xfId="0" applyNumberFormat="1"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15" fillId="0" borderId="0" xfId="0" applyFont="1" applyAlignment="1" applyProtection="1">
      <alignment vertical="center"/>
      <protection/>
    </xf>
    <xf numFmtId="0" fontId="5" fillId="33" borderId="0" xfId="0" applyFont="1" applyFill="1" applyBorder="1" applyAlignment="1" applyProtection="1">
      <alignment vertical="center"/>
      <protection/>
    </xf>
    <xf numFmtId="0" fontId="6" fillId="0" borderId="0" xfId="0" applyFont="1" applyAlignment="1" applyProtection="1">
      <alignment vertical="center"/>
      <protection/>
    </xf>
    <xf numFmtId="179" fontId="2"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wrapText="1"/>
      <protection/>
    </xf>
    <xf numFmtId="0" fontId="2" fillId="43" borderId="0" xfId="0" applyNumberFormat="1" applyFont="1" applyFill="1" applyBorder="1" applyAlignment="1" applyProtection="1">
      <alignment vertical="center"/>
      <protection locked="0"/>
    </xf>
    <xf numFmtId="0" fontId="2" fillId="43" borderId="0" xfId="0" applyNumberFormat="1" applyFont="1" applyFill="1" applyAlignment="1" applyProtection="1">
      <alignment horizontal="left" vertical="center"/>
      <protection locked="0"/>
    </xf>
    <xf numFmtId="0" fontId="2" fillId="43" borderId="0" xfId="0" applyNumberFormat="1" applyFont="1" applyFill="1" applyAlignment="1" applyProtection="1">
      <alignment vertical="center"/>
      <protection locked="0"/>
    </xf>
    <xf numFmtId="0" fontId="5" fillId="43" borderId="0" xfId="0" applyNumberFormat="1" applyFont="1" applyFill="1" applyAlignment="1" applyProtection="1">
      <alignment vertical="center"/>
      <protection locked="0"/>
    </xf>
    <xf numFmtId="0" fontId="2" fillId="43" borderId="0" xfId="0" applyNumberFormat="1" applyFont="1" applyFill="1" applyAlignment="1" applyProtection="1">
      <alignment horizontal="center" vertical="center"/>
      <protection locked="0"/>
    </xf>
    <xf numFmtId="0" fontId="14" fillId="43" borderId="0" xfId="0" applyNumberFormat="1" applyFont="1" applyFill="1" applyAlignment="1" applyProtection="1">
      <alignment vertical="center"/>
      <protection locked="0"/>
    </xf>
    <xf numFmtId="0" fontId="2" fillId="36" borderId="0" xfId="0" applyNumberFormat="1" applyFont="1" applyFill="1" applyBorder="1" applyAlignment="1" applyProtection="1">
      <alignment vertical="center"/>
      <protection locked="0"/>
    </xf>
    <xf numFmtId="0" fontId="2" fillId="33" borderId="0" xfId="0" applyNumberFormat="1" applyFont="1" applyFill="1" applyAlignment="1" applyProtection="1">
      <alignment horizontal="left" vertical="center"/>
      <protection locked="0"/>
    </xf>
    <xf numFmtId="0" fontId="2" fillId="33" borderId="0" xfId="0" applyNumberFormat="1" applyFont="1" applyFill="1" applyBorder="1" applyAlignment="1" applyProtection="1">
      <alignment vertical="center"/>
      <protection locked="0"/>
    </xf>
    <xf numFmtId="0" fontId="5" fillId="33" borderId="0" xfId="0" applyNumberFormat="1" applyFont="1" applyFill="1" applyAlignment="1" applyProtection="1">
      <alignment vertical="center"/>
      <protection locked="0"/>
    </xf>
    <xf numFmtId="0" fontId="2" fillId="0" borderId="0" xfId="0" applyNumberFormat="1" applyFont="1" applyAlignment="1" applyProtection="1">
      <alignment vertical="center"/>
      <protection locked="0"/>
    </xf>
    <xf numFmtId="0" fontId="2" fillId="0" borderId="0" xfId="0" applyNumberFormat="1" applyFont="1" applyAlignment="1" applyProtection="1">
      <alignment horizontal="center" vertical="center"/>
      <protection locked="0"/>
    </xf>
    <xf numFmtId="0" fontId="14" fillId="0" borderId="0" xfId="0" applyNumberFormat="1" applyFont="1" applyAlignment="1" applyProtection="1">
      <alignment vertical="center"/>
      <protection locked="0"/>
    </xf>
    <xf numFmtId="0" fontId="2" fillId="33" borderId="29" xfId="0" applyNumberFormat="1" applyFont="1" applyFill="1" applyBorder="1" applyAlignment="1" applyProtection="1">
      <alignment vertical="center"/>
      <protection locked="0"/>
    </xf>
    <xf numFmtId="0" fontId="2" fillId="33" borderId="11" xfId="0" applyNumberFormat="1" applyFont="1" applyFill="1" applyBorder="1" applyAlignment="1" applyProtection="1">
      <alignment horizontal="center" vertical="center"/>
      <protection locked="0"/>
    </xf>
    <xf numFmtId="14" fontId="2" fillId="33" borderId="0" xfId="0" applyNumberFormat="1" applyFont="1" applyFill="1" applyBorder="1" applyAlignment="1" applyProtection="1">
      <alignment vertical="center"/>
      <protection locked="0"/>
    </xf>
    <xf numFmtId="0" fontId="2" fillId="33" borderId="0" xfId="0" applyNumberFormat="1" applyFont="1" applyFill="1" applyBorder="1" applyAlignment="1" applyProtection="1">
      <alignment vertical="center" wrapText="1"/>
      <protection locked="0"/>
    </xf>
    <xf numFmtId="14" fontId="2" fillId="33" borderId="0" xfId="0" applyNumberFormat="1" applyFont="1" applyFill="1" applyAlignment="1" applyProtection="1">
      <alignment vertical="center"/>
      <protection locked="0"/>
    </xf>
    <xf numFmtId="14" fontId="2" fillId="44" borderId="0" xfId="0" applyNumberFormat="1" applyFont="1" applyFill="1" applyBorder="1" applyAlignment="1" applyProtection="1">
      <alignment vertical="center" wrapText="1"/>
      <protection locked="0"/>
    </xf>
    <xf numFmtId="0" fontId="2" fillId="44" borderId="0" xfId="0" applyNumberFormat="1" applyFont="1" applyFill="1" applyBorder="1" applyAlignment="1" applyProtection="1">
      <alignment vertical="center" wrapText="1"/>
      <protection locked="0"/>
    </xf>
    <xf numFmtId="0" fontId="2" fillId="44" borderId="0" xfId="0" applyNumberFormat="1" applyFont="1" applyFill="1" applyAlignment="1" applyProtection="1">
      <alignment vertical="center"/>
      <protection locked="0"/>
    </xf>
    <xf numFmtId="0" fontId="2" fillId="45" borderId="0" xfId="0" applyNumberFormat="1" applyFont="1" applyFill="1" applyAlignment="1" applyProtection="1">
      <alignment vertical="center"/>
      <protection locked="0"/>
    </xf>
    <xf numFmtId="0" fontId="2" fillId="46" borderId="0" xfId="0" applyNumberFormat="1" applyFont="1" applyFill="1" applyBorder="1" applyAlignment="1" applyProtection="1">
      <alignment vertical="center" wrapText="1"/>
      <protection locked="0"/>
    </xf>
    <xf numFmtId="0" fontId="2" fillId="46" borderId="0" xfId="0" applyNumberFormat="1" applyFont="1" applyFill="1" applyAlignment="1" applyProtection="1">
      <alignment vertical="center"/>
      <protection locked="0"/>
    </xf>
    <xf numFmtId="0" fontId="2" fillId="37" borderId="0" xfId="0" applyNumberFormat="1" applyFont="1" applyFill="1" applyAlignment="1" applyProtection="1">
      <alignment horizontal="left" vertical="center"/>
      <protection locked="0"/>
    </xf>
    <xf numFmtId="0" fontId="2" fillId="37" borderId="0" xfId="0" applyNumberFormat="1" applyFont="1" applyFill="1" applyBorder="1" applyAlignment="1" applyProtection="1">
      <alignment vertical="center" wrapText="1"/>
      <protection locked="0"/>
    </xf>
    <xf numFmtId="0" fontId="2" fillId="37" borderId="0" xfId="0" applyNumberFormat="1" applyFont="1" applyFill="1" applyAlignment="1" applyProtection="1">
      <alignment vertical="center"/>
      <protection locked="0"/>
    </xf>
    <xf numFmtId="0" fontId="2" fillId="45" borderId="0" xfId="0" applyNumberFormat="1" applyFont="1" applyFill="1" applyBorder="1" applyAlignment="1" applyProtection="1">
      <alignment vertical="center"/>
      <protection locked="0"/>
    </xf>
    <xf numFmtId="0" fontId="2" fillId="45" borderId="0" xfId="0" applyNumberFormat="1" applyFont="1" applyFill="1" applyAlignment="1" applyProtection="1">
      <alignment horizontal="left" vertical="center"/>
      <protection locked="0"/>
    </xf>
    <xf numFmtId="0" fontId="2" fillId="45" borderId="0" xfId="0" applyNumberFormat="1" applyFont="1" applyFill="1" applyBorder="1" applyAlignment="1" applyProtection="1">
      <alignment vertical="center" wrapText="1"/>
      <protection locked="0"/>
    </xf>
    <xf numFmtId="0" fontId="2" fillId="45" borderId="0" xfId="0" applyNumberFormat="1" applyFont="1" applyFill="1" applyBorder="1" applyAlignment="1" applyProtection="1">
      <alignment horizontal="right" vertical="center" wrapText="1"/>
      <protection locked="0"/>
    </xf>
    <xf numFmtId="0" fontId="5" fillId="45" borderId="0" xfId="0" applyNumberFormat="1" applyFont="1" applyFill="1" applyAlignment="1" applyProtection="1">
      <alignment vertical="center"/>
      <protection locked="0"/>
    </xf>
    <xf numFmtId="0" fontId="2" fillId="45" borderId="0" xfId="0" applyNumberFormat="1" applyFont="1" applyFill="1" applyAlignment="1" applyProtection="1">
      <alignment horizontal="center" vertical="center"/>
      <protection locked="0"/>
    </xf>
    <xf numFmtId="0" fontId="14" fillId="45" borderId="0" xfId="0" applyNumberFormat="1" applyFont="1" applyFill="1" applyAlignment="1" applyProtection="1">
      <alignment vertical="center"/>
      <protection locked="0"/>
    </xf>
    <xf numFmtId="14" fontId="2" fillId="45" borderId="0" xfId="0" applyNumberFormat="1" applyFont="1" applyFill="1" applyAlignment="1" applyProtection="1">
      <alignment vertical="center"/>
      <protection locked="0"/>
    </xf>
    <xf numFmtId="0" fontId="11" fillId="45" borderId="0" xfId="0" applyNumberFormat="1" applyFont="1" applyFill="1" applyAlignment="1" applyProtection="1">
      <alignment vertical="center"/>
      <protection locked="0"/>
    </xf>
    <xf numFmtId="0" fontId="2" fillId="45" borderId="0" xfId="0" applyNumberFormat="1" applyFont="1" applyFill="1" applyAlignment="1" applyProtection="1">
      <alignment horizontal="right" vertical="center"/>
      <protection locked="0"/>
    </xf>
    <xf numFmtId="0" fontId="14" fillId="33" borderId="0" xfId="0" applyNumberFormat="1" applyFont="1" applyFill="1" applyAlignment="1" applyProtection="1">
      <alignment horizontal="left" vertical="center"/>
      <protection locked="0"/>
    </xf>
    <xf numFmtId="0" fontId="2" fillId="33" borderId="0" xfId="0" applyNumberFormat="1" applyFont="1" applyFill="1" applyAlignment="1" applyProtection="1">
      <alignment horizontal="right" vertical="center"/>
      <protection locked="0"/>
    </xf>
    <xf numFmtId="0" fontId="2" fillId="33" borderId="0" xfId="0" applyNumberFormat="1" applyFont="1" applyFill="1" applyAlignment="1" applyProtection="1">
      <alignment horizontal="center" vertical="center"/>
      <protection locked="0"/>
    </xf>
    <xf numFmtId="0" fontId="14" fillId="33" borderId="0" xfId="0" applyNumberFormat="1" applyFont="1" applyFill="1" applyAlignment="1" applyProtection="1">
      <alignment vertical="center"/>
      <protection locked="0"/>
    </xf>
    <xf numFmtId="16" fontId="2" fillId="33" borderId="0" xfId="0" applyNumberFormat="1" applyFont="1" applyFill="1" applyAlignment="1" applyProtection="1">
      <alignment vertical="center"/>
      <protection locked="0"/>
    </xf>
    <xf numFmtId="0" fontId="11" fillId="33" borderId="0" xfId="0" applyNumberFormat="1" applyFont="1" applyFill="1" applyAlignment="1" applyProtection="1">
      <alignment vertical="center"/>
      <protection locked="0"/>
    </xf>
    <xf numFmtId="9" fontId="2" fillId="33" borderId="0" xfId="0" applyNumberFormat="1" applyFont="1" applyFill="1" applyAlignment="1" applyProtection="1">
      <alignment vertical="center"/>
      <protection locked="0"/>
    </xf>
    <xf numFmtId="0" fontId="10" fillId="33" borderId="0" xfId="0" applyNumberFormat="1" applyFont="1" applyFill="1" applyBorder="1" applyAlignment="1" applyProtection="1">
      <alignment vertical="center" wrapText="1"/>
      <protection locked="0"/>
    </xf>
    <xf numFmtId="0" fontId="2" fillId="0" borderId="0" xfId="0" applyNumberFormat="1" applyFont="1" applyAlignment="1" applyProtection="1">
      <alignment horizontal="left" vertical="center"/>
      <protection locked="0"/>
    </xf>
    <xf numFmtId="14" fontId="2" fillId="0" borderId="0" xfId="0" applyNumberFormat="1" applyFont="1" applyAlignment="1" applyProtection="1">
      <alignment vertical="center"/>
      <protection locked="0"/>
    </xf>
    <xf numFmtId="0" fontId="3" fillId="0" borderId="0" xfId="0" applyFont="1" applyAlignment="1" applyProtection="1">
      <alignment vertical="top"/>
      <protection locked="0"/>
    </xf>
    <xf numFmtId="49" fontId="2" fillId="34" borderId="11" xfId="0" applyNumberFormat="1" applyFont="1" applyFill="1" applyBorder="1" applyAlignment="1" applyProtection="1">
      <alignment vertical="center"/>
      <protection locked="0"/>
    </xf>
    <xf numFmtId="0" fontId="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right" vertical="center"/>
      <protection locked="0"/>
    </xf>
    <xf numFmtId="14" fontId="3" fillId="0" borderId="0" xfId="0" applyNumberFormat="1" applyFont="1" applyAlignment="1" applyProtection="1">
      <alignment horizontal="left" vertical="center"/>
      <protection locked="0"/>
    </xf>
    <xf numFmtId="0" fontId="3" fillId="0" borderId="0" xfId="0" applyNumberFormat="1" applyFont="1" applyAlignment="1" applyProtection="1">
      <alignment vertical="center"/>
      <protection locked="0"/>
    </xf>
    <xf numFmtId="14" fontId="3" fillId="0" borderId="0" xfId="0" applyNumberFormat="1" applyFont="1" applyAlignment="1" applyProtection="1">
      <alignment vertical="center"/>
      <protection locked="0"/>
    </xf>
    <xf numFmtId="0" fontId="69" fillId="0" borderId="0" xfId="0" applyFont="1" applyAlignment="1" applyProtection="1">
      <alignment horizontal="left" vertical="center"/>
      <protection locked="0"/>
    </xf>
    <xf numFmtId="17" fontId="68" fillId="0" borderId="16" xfId="0" applyNumberFormat="1" applyFont="1" applyBorder="1" applyAlignment="1" applyProtection="1">
      <alignment horizontal="left" vertical="center" wrapText="1"/>
      <protection hidden="1" locked="0"/>
    </xf>
    <xf numFmtId="0" fontId="2" fillId="40" borderId="29" xfId="0" applyNumberFormat="1" applyFont="1" applyFill="1" applyBorder="1" applyAlignment="1" applyProtection="1">
      <alignment horizontal="center" vertical="center"/>
      <protection locked="0"/>
    </xf>
    <xf numFmtId="0" fontId="2" fillId="40" borderId="30" xfId="0" applyNumberFormat="1" applyFont="1" applyFill="1" applyBorder="1" applyAlignment="1" applyProtection="1">
      <alignment vertical="center"/>
      <protection locked="0"/>
    </xf>
    <xf numFmtId="14" fontId="2" fillId="40" borderId="30" xfId="0" applyNumberFormat="1" applyFont="1" applyFill="1" applyBorder="1" applyAlignment="1" applyProtection="1">
      <alignment vertical="center"/>
      <protection locked="0"/>
    </xf>
    <xf numFmtId="14" fontId="2" fillId="40" borderId="10" xfId="0" applyNumberFormat="1" applyFont="1" applyFill="1" applyBorder="1" applyAlignment="1" applyProtection="1">
      <alignment vertical="center"/>
      <protection locked="0"/>
    </xf>
    <xf numFmtId="0" fontId="2" fillId="40" borderId="0" xfId="0" applyNumberFormat="1" applyFont="1" applyFill="1" applyAlignment="1" applyProtection="1">
      <alignment vertical="center"/>
      <protection locked="0"/>
    </xf>
    <xf numFmtId="14" fontId="2" fillId="40" borderId="0" xfId="0" applyNumberFormat="1" applyFont="1" applyFill="1" applyAlignment="1" applyProtection="1">
      <alignment vertical="center"/>
      <protection locked="0"/>
    </xf>
    <xf numFmtId="14" fontId="2" fillId="40" borderId="11" xfId="0" applyNumberFormat="1" applyFont="1" applyFill="1" applyBorder="1" applyAlignment="1" applyProtection="1">
      <alignment vertical="center"/>
      <protection locked="0"/>
    </xf>
    <xf numFmtId="14" fontId="2" fillId="40" borderId="10" xfId="0" applyNumberFormat="1" applyFont="1" applyFill="1" applyBorder="1" applyAlignment="1" applyProtection="1">
      <alignment horizontal="right" vertical="center"/>
      <protection locked="0"/>
    </xf>
    <xf numFmtId="0" fontId="113" fillId="42" borderId="13" xfId="0" applyFont="1" applyFill="1" applyBorder="1" applyAlignment="1">
      <alignment horizontal="center"/>
    </xf>
    <xf numFmtId="0" fontId="113" fillId="42" borderId="14" xfId="0" applyFont="1" applyFill="1" applyBorder="1" applyAlignment="1">
      <alignment/>
    </xf>
    <xf numFmtId="0" fontId="113" fillId="42" borderId="15" xfId="0" applyFont="1" applyFill="1" applyBorder="1" applyAlignment="1">
      <alignment/>
    </xf>
    <xf numFmtId="0" fontId="113" fillId="42" borderId="17" xfId="0" applyFont="1" applyFill="1" applyBorder="1" applyAlignment="1">
      <alignment horizontal="center"/>
    </xf>
    <xf numFmtId="0" fontId="113" fillId="42" borderId="0" xfId="0" applyFont="1" applyFill="1" applyBorder="1" applyAlignment="1">
      <alignment/>
    </xf>
    <xf numFmtId="0" fontId="113" fillId="42" borderId="18" xfId="0" applyFont="1" applyFill="1" applyBorder="1" applyAlignment="1">
      <alignment/>
    </xf>
    <xf numFmtId="0" fontId="113" fillId="42" borderId="17" xfId="0" applyFont="1" applyFill="1" applyBorder="1" applyAlignment="1">
      <alignment horizontal="center" vertical="center"/>
    </xf>
    <xf numFmtId="0" fontId="113" fillId="42" borderId="0" xfId="0" applyFont="1" applyFill="1" applyBorder="1" applyAlignment="1">
      <alignment horizontal="center" vertical="center"/>
    </xf>
    <xf numFmtId="0" fontId="113" fillId="42" borderId="18" xfId="0" applyFont="1" applyFill="1" applyBorder="1" applyAlignment="1">
      <alignment horizontal="center" vertical="center"/>
    </xf>
    <xf numFmtId="0" fontId="113" fillId="42" borderId="0" xfId="0" applyFont="1" applyFill="1" applyBorder="1" applyAlignment="1">
      <alignment horizontal="center"/>
    </xf>
    <xf numFmtId="0" fontId="113" fillId="42" borderId="0" xfId="0" applyFont="1" applyFill="1" applyBorder="1" applyAlignment="1">
      <alignment horizontal="left"/>
    </xf>
    <xf numFmtId="0" fontId="113" fillId="42" borderId="18" xfId="0" applyFont="1" applyFill="1" applyBorder="1" applyAlignment="1">
      <alignment horizontal="center"/>
    </xf>
    <xf numFmtId="0" fontId="113" fillId="42" borderId="19" xfId="0" applyFont="1" applyFill="1" applyBorder="1" applyAlignment="1">
      <alignment horizontal="center"/>
    </xf>
    <xf numFmtId="0" fontId="113" fillId="42" borderId="12" xfId="0" applyFont="1" applyFill="1" applyBorder="1" applyAlignment="1">
      <alignment/>
    </xf>
    <xf numFmtId="0" fontId="113" fillId="42" borderId="20" xfId="0" applyFont="1" applyFill="1" applyBorder="1" applyAlignment="1">
      <alignment/>
    </xf>
    <xf numFmtId="14" fontId="2" fillId="0" borderId="0" xfId="0" applyNumberFormat="1" applyFont="1" applyAlignment="1" applyProtection="1">
      <alignment horizontal="left" vertical="center"/>
      <protection locked="0"/>
    </xf>
    <xf numFmtId="14" fontId="2" fillId="0" borderId="0" xfId="0" applyNumberFormat="1" applyFont="1" applyAlignment="1" applyProtection="1">
      <alignment horizontal="right" vertical="center"/>
      <protection locked="0"/>
    </xf>
    <xf numFmtId="49" fontId="60" fillId="45" borderId="11" xfId="0" applyNumberFormat="1" applyFont="1" applyFill="1" applyBorder="1" applyAlignment="1" applyProtection="1">
      <alignment vertical="center"/>
      <protection locked="0"/>
    </xf>
    <xf numFmtId="49" fontId="2" fillId="0" borderId="0" xfId="0" applyNumberFormat="1" applyFont="1" applyAlignment="1" applyProtection="1">
      <alignment horizontal="left" vertical="center"/>
      <protection locked="0"/>
    </xf>
    <xf numFmtId="0" fontId="2" fillId="33" borderId="11" xfId="0" applyNumberFormat="1" applyFont="1" applyFill="1" applyBorder="1" applyAlignment="1" applyProtection="1">
      <alignment vertical="center"/>
      <protection locked="0"/>
    </xf>
    <xf numFmtId="0" fontId="114" fillId="47" borderId="15" xfId="0" applyFont="1" applyFill="1" applyBorder="1" applyAlignment="1" applyProtection="1">
      <alignment horizontal="center" vertical="center"/>
      <protection/>
    </xf>
    <xf numFmtId="0" fontId="114" fillId="47" borderId="31" xfId="0" applyFont="1" applyFill="1" applyBorder="1" applyAlignment="1" applyProtection="1">
      <alignment horizontal="center" vertical="center"/>
      <protection/>
    </xf>
    <xf numFmtId="0" fontId="115" fillId="47" borderId="34" xfId="0" applyFont="1" applyFill="1" applyBorder="1" applyAlignment="1" applyProtection="1">
      <alignment horizontal="center" vertical="center"/>
      <protection locked="0"/>
    </xf>
    <xf numFmtId="0" fontId="115" fillId="47" borderId="0" xfId="0" applyFont="1" applyFill="1" applyBorder="1" applyAlignment="1" applyProtection="1">
      <alignment horizontal="center" vertical="center"/>
      <protection locked="0"/>
    </xf>
    <xf numFmtId="0" fontId="114" fillId="47" borderId="0" xfId="0" applyFont="1" applyFill="1" applyBorder="1" applyAlignment="1" applyProtection="1">
      <alignment vertical="center"/>
      <protection locked="0"/>
    </xf>
    <xf numFmtId="0" fontId="115" fillId="47" borderId="35" xfId="0" applyFont="1" applyFill="1" applyBorder="1" applyAlignment="1" applyProtection="1">
      <alignment horizontal="center" vertical="center"/>
      <protection locked="0"/>
    </xf>
    <xf numFmtId="0" fontId="115" fillId="47" borderId="36" xfId="0" applyFont="1" applyFill="1" applyBorder="1" applyAlignment="1" applyProtection="1">
      <alignment horizontal="center" vertical="center"/>
      <protection locked="0"/>
    </xf>
    <xf numFmtId="0" fontId="115" fillId="47" borderId="37" xfId="0" applyFont="1" applyFill="1" applyBorder="1" applyAlignment="1" applyProtection="1">
      <alignment horizontal="center" vertical="center"/>
      <protection locked="0"/>
    </xf>
    <xf numFmtId="0" fontId="115" fillId="47" borderId="38" xfId="0" applyFont="1" applyFill="1" applyBorder="1" applyAlignment="1" applyProtection="1">
      <alignment horizontal="center" vertical="center"/>
      <protection locked="0"/>
    </xf>
    <xf numFmtId="0" fontId="115" fillId="47" borderId="39" xfId="0" applyFont="1" applyFill="1" applyBorder="1" applyAlignment="1" applyProtection="1">
      <alignment horizontal="center" vertical="center"/>
      <protection locked="0"/>
    </xf>
    <xf numFmtId="0" fontId="115" fillId="47" borderId="40" xfId="0" applyFont="1" applyFill="1" applyBorder="1" applyAlignment="1" applyProtection="1">
      <alignment horizontal="center" vertical="center"/>
      <protection locked="0"/>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1" fillId="48" borderId="41" xfId="0" applyFont="1" applyFill="1" applyBorder="1" applyAlignment="1" applyProtection="1">
      <alignment vertical="center" wrapText="1"/>
      <protection/>
    </xf>
    <xf numFmtId="0" fontId="2" fillId="48" borderId="41" xfId="0" applyFont="1" applyFill="1" applyBorder="1" applyAlignment="1" applyProtection="1">
      <alignment vertical="center"/>
      <protection/>
    </xf>
    <xf numFmtId="0" fontId="2" fillId="33" borderId="19"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11" xfId="0" applyFont="1" applyFill="1" applyBorder="1" applyAlignment="1" applyProtection="1">
      <alignment horizontal="right" vertical="center" wrapText="1"/>
      <protection locked="0"/>
    </xf>
    <xf numFmtId="0" fontId="65" fillId="33" borderId="11" xfId="0" applyFont="1" applyFill="1" applyBorder="1" applyAlignment="1" applyProtection="1">
      <alignment vertical="center"/>
      <protection locked="0"/>
    </xf>
    <xf numFmtId="1" fontId="2" fillId="33" borderId="0" xfId="0" applyNumberFormat="1" applyFont="1" applyFill="1" applyBorder="1" applyAlignment="1" applyProtection="1">
      <alignment vertical="center"/>
      <protection locked="0"/>
    </xf>
    <xf numFmtId="179" fontId="2" fillId="33" borderId="0" xfId="0" applyNumberFormat="1" applyFont="1" applyFill="1" applyAlignment="1" applyProtection="1">
      <alignment vertical="center"/>
      <protection locked="0"/>
    </xf>
    <xf numFmtId="0" fontId="35" fillId="49" borderId="0" xfId="0" applyFont="1" applyFill="1" applyAlignment="1">
      <alignment horizontal="center" vertical="center"/>
    </xf>
    <xf numFmtId="179" fontId="17" fillId="33" borderId="29" xfId="0" applyNumberFormat="1" applyFont="1" applyFill="1" applyBorder="1" applyAlignment="1" applyProtection="1">
      <alignment horizontal="center" vertical="center"/>
      <protection/>
    </xf>
    <xf numFmtId="179" fontId="17" fillId="33" borderId="30" xfId="0" applyNumberFormat="1" applyFont="1" applyFill="1" applyBorder="1" applyAlignment="1" applyProtection="1">
      <alignment horizontal="center" vertical="center"/>
      <protection/>
    </xf>
    <xf numFmtId="179" fontId="17" fillId="33" borderId="10" xfId="0" applyNumberFormat="1" applyFont="1" applyFill="1" applyBorder="1" applyAlignment="1" applyProtection="1">
      <alignment horizontal="center" vertical="center"/>
      <protection/>
    </xf>
    <xf numFmtId="0" fontId="6" fillId="33" borderId="29" xfId="0" applyFont="1" applyFill="1" applyBorder="1" applyAlignment="1" applyProtection="1">
      <alignment horizontal="center" vertical="center" wrapText="1"/>
      <protection/>
    </xf>
    <xf numFmtId="0" fontId="6" fillId="33" borderId="3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2" fillId="39" borderId="29" xfId="0" applyFont="1" applyFill="1" applyBorder="1" applyAlignment="1" applyProtection="1">
      <alignment horizontal="left" vertical="center"/>
      <protection locked="0"/>
    </xf>
    <xf numFmtId="0" fontId="2" fillId="39" borderId="30" xfId="0" applyFont="1" applyFill="1" applyBorder="1" applyAlignment="1" applyProtection="1">
      <alignment horizontal="left" vertical="center"/>
      <protection locked="0"/>
    </xf>
    <xf numFmtId="0" fontId="2" fillId="39" borderId="10" xfId="0" applyFont="1" applyFill="1" applyBorder="1" applyAlignment="1" applyProtection="1">
      <alignment horizontal="left" vertical="center"/>
      <protection locked="0"/>
    </xf>
    <xf numFmtId="0" fontId="2" fillId="33" borderId="29" xfId="0" applyFont="1" applyFill="1" applyBorder="1" applyAlignment="1" applyProtection="1">
      <alignment horizontal="center" vertical="center"/>
      <protection/>
    </xf>
    <xf numFmtId="0" fontId="2" fillId="33" borderId="3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9" borderId="29" xfId="0" applyFont="1" applyFill="1" applyBorder="1" applyAlignment="1" applyProtection="1">
      <alignment horizontal="left" vertical="center"/>
      <protection/>
    </xf>
    <xf numFmtId="0" fontId="2" fillId="39" borderId="10" xfId="0" applyFont="1" applyFill="1" applyBorder="1" applyAlignment="1" applyProtection="1">
      <alignment horizontal="left" vertical="center"/>
      <protection/>
    </xf>
    <xf numFmtId="0" fontId="2" fillId="33" borderId="29" xfId="0" applyFont="1" applyFill="1" applyBorder="1" applyAlignment="1" applyProtection="1">
      <alignment horizontal="right" vertical="center" wrapText="1"/>
      <protection/>
    </xf>
    <xf numFmtId="0" fontId="2" fillId="33" borderId="30" xfId="0" applyFont="1" applyFill="1" applyBorder="1" applyAlignment="1" applyProtection="1">
      <alignment horizontal="right" vertical="center" wrapText="1"/>
      <protection/>
    </xf>
    <xf numFmtId="0" fontId="2" fillId="33" borderId="10" xfId="0" applyFont="1" applyFill="1" applyBorder="1" applyAlignment="1" applyProtection="1">
      <alignment horizontal="right" vertical="center" wrapText="1"/>
      <protection/>
    </xf>
    <xf numFmtId="0" fontId="2" fillId="33" borderId="29"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116" fillId="47" borderId="15" xfId="0" applyFont="1" applyFill="1" applyBorder="1" applyAlignment="1" applyProtection="1">
      <alignment horizontal="center" vertical="center" wrapText="1"/>
      <protection/>
    </xf>
    <xf numFmtId="0" fontId="116" fillId="47" borderId="18" xfId="0" applyFont="1" applyFill="1" applyBorder="1" applyAlignment="1" applyProtection="1">
      <alignment horizontal="center" vertical="center" wrapText="1"/>
      <protection/>
    </xf>
    <xf numFmtId="0" fontId="116" fillId="47" borderId="42" xfId="0" applyFont="1" applyFill="1" applyBorder="1" applyAlignment="1" applyProtection="1">
      <alignment horizontal="center" vertical="center" wrapText="1"/>
      <protection/>
    </xf>
    <xf numFmtId="0" fontId="64" fillId="50" borderId="29" xfId="53" applyFont="1" applyFill="1" applyBorder="1" applyAlignment="1" applyProtection="1">
      <alignment horizontal="center"/>
      <protection/>
    </xf>
    <xf numFmtId="0" fontId="48" fillId="50" borderId="30" xfId="53" applyFont="1" applyFill="1" applyBorder="1" applyAlignment="1" applyProtection="1">
      <alignment horizontal="center"/>
      <protection/>
    </xf>
    <xf numFmtId="0" fontId="48" fillId="50" borderId="10" xfId="53" applyFont="1" applyFill="1" applyBorder="1" applyAlignment="1" applyProtection="1">
      <alignment horizontal="center"/>
      <protection/>
    </xf>
    <xf numFmtId="0" fontId="4" fillId="34" borderId="29" xfId="0" applyFont="1" applyFill="1" applyBorder="1" applyAlignment="1" applyProtection="1">
      <alignment horizontal="center" vertical="center"/>
      <protection locked="0"/>
    </xf>
    <xf numFmtId="0" fontId="4" fillId="34" borderId="30" xfId="0"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locked="0"/>
    </xf>
    <xf numFmtId="179" fontId="2" fillId="34" borderId="29" xfId="0" applyNumberFormat="1" applyFont="1" applyFill="1" applyBorder="1" applyAlignment="1" applyProtection="1">
      <alignment horizontal="center" vertical="center"/>
      <protection locked="0"/>
    </xf>
    <xf numFmtId="179" fontId="2" fillId="34" borderId="30" xfId="0" applyNumberFormat="1" applyFont="1" applyFill="1" applyBorder="1" applyAlignment="1" applyProtection="1">
      <alignment horizontal="center" vertical="center"/>
      <protection locked="0"/>
    </xf>
    <xf numFmtId="179" fontId="2" fillId="34" borderId="10" xfId="0" applyNumberFormat="1" applyFont="1" applyFill="1" applyBorder="1" applyAlignment="1" applyProtection="1">
      <alignment horizontal="center" vertical="center"/>
      <protection locked="0"/>
    </xf>
    <xf numFmtId="0" fontId="2" fillId="34" borderId="29" xfId="0" applyFont="1" applyFill="1" applyBorder="1" applyAlignment="1" applyProtection="1">
      <alignment horizontal="left" vertical="center"/>
      <protection locked="0"/>
    </xf>
    <xf numFmtId="0" fontId="2" fillId="34" borderId="30" xfId="0" applyFont="1" applyFill="1" applyBorder="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2" fillId="33" borderId="29" xfId="0" applyFont="1" applyFill="1" applyBorder="1" applyAlignment="1" applyProtection="1">
      <alignment horizontal="center" vertical="center" wrapText="1"/>
      <protection locked="0"/>
    </xf>
    <xf numFmtId="0" fontId="2" fillId="33" borderId="30"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49" fontId="2" fillId="34" borderId="29" xfId="0" applyNumberFormat="1" applyFont="1" applyFill="1" applyBorder="1" applyAlignment="1" applyProtection="1">
      <alignment horizontal="left" vertical="center"/>
      <protection locked="0"/>
    </xf>
    <xf numFmtId="49" fontId="2" fillId="34" borderId="30" xfId="0" applyNumberFormat="1" applyFont="1" applyFill="1" applyBorder="1" applyAlignment="1" applyProtection="1">
      <alignment horizontal="left" vertical="center"/>
      <protection locked="0"/>
    </xf>
    <xf numFmtId="49" fontId="2" fillId="34" borderId="10" xfId="0" applyNumberFormat="1" applyFont="1" applyFill="1" applyBorder="1" applyAlignment="1" applyProtection="1">
      <alignment horizontal="left" vertical="center"/>
      <protection locked="0"/>
    </xf>
    <xf numFmtId="0" fontId="46" fillId="50" borderId="13" xfId="0" applyFont="1" applyFill="1" applyBorder="1" applyAlignment="1" applyProtection="1">
      <alignment horizontal="center" vertical="center"/>
      <protection/>
    </xf>
    <xf numFmtId="0" fontId="19" fillId="50" borderId="14" xfId="0" applyFont="1" applyFill="1" applyBorder="1" applyAlignment="1" applyProtection="1">
      <alignment horizontal="center" vertical="center"/>
      <protection/>
    </xf>
    <xf numFmtId="0" fontId="19" fillId="50" borderId="15" xfId="0" applyFont="1" applyFill="1" applyBorder="1" applyAlignment="1" applyProtection="1">
      <alignment horizontal="center" vertical="center"/>
      <protection/>
    </xf>
    <xf numFmtId="0" fontId="19" fillId="50" borderId="17" xfId="0" applyFont="1" applyFill="1" applyBorder="1" applyAlignment="1" applyProtection="1">
      <alignment horizontal="center" vertical="center"/>
      <protection/>
    </xf>
    <xf numFmtId="0" fontId="19" fillId="50" borderId="0" xfId="0" applyFont="1" applyFill="1" applyBorder="1" applyAlignment="1" applyProtection="1">
      <alignment horizontal="center" vertical="center"/>
      <protection/>
    </xf>
    <xf numFmtId="0" fontId="19" fillId="50" borderId="18" xfId="0" applyFont="1" applyFill="1" applyBorder="1" applyAlignment="1" applyProtection="1">
      <alignment horizontal="center" vertical="center"/>
      <protection/>
    </xf>
    <xf numFmtId="0" fontId="114" fillId="47" borderId="31" xfId="0" applyFont="1" applyFill="1" applyBorder="1" applyAlignment="1" applyProtection="1">
      <alignment horizontal="center" vertical="center"/>
      <protection/>
    </xf>
    <xf numFmtId="0" fontId="114" fillId="47" borderId="41" xfId="0" applyFont="1" applyFill="1" applyBorder="1" applyAlignment="1" applyProtection="1">
      <alignment horizontal="center" vertical="center"/>
      <protection/>
    </xf>
    <xf numFmtId="0" fontId="0" fillId="0" borderId="10" xfId="0" applyBorder="1" applyAlignment="1" applyProtection="1">
      <alignment/>
      <protection/>
    </xf>
    <xf numFmtId="0" fontId="21" fillId="33" borderId="43" xfId="0" applyFont="1" applyFill="1" applyBorder="1" applyAlignment="1" applyProtection="1">
      <alignment horizontal="left" vertical="center"/>
      <protection/>
    </xf>
    <xf numFmtId="0" fontId="21" fillId="33" borderId="44" xfId="0" applyFont="1" applyFill="1" applyBorder="1" applyAlignment="1" applyProtection="1">
      <alignment horizontal="left" vertical="center"/>
      <protection/>
    </xf>
    <xf numFmtId="0" fontId="21" fillId="33" borderId="45" xfId="0" applyFont="1" applyFill="1" applyBorder="1" applyAlignment="1" applyProtection="1">
      <alignment horizontal="left" vertical="center"/>
      <protection/>
    </xf>
    <xf numFmtId="0" fontId="47" fillId="50" borderId="29" xfId="0" applyFont="1" applyFill="1" applyBorder="1" applyAlignment="1" applyProtection="1">
      <alignment horizontal="center" vertical="center"/>
      <protection/>
    </xf>
    <xf numFmtId="0" fontId="47" fillId="50" borderId="30" xfId="0" applyFont="1" applyFill="1" applyBorder="1" applyAlignment="1" applyProtection="1">
      <alignment horizontal="center" vertical="center"/>
      <protection/>
    </xf>
    <xf numFmtId="0" fontId="47" fillId="50" borderId="10"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locked="0"/>
    </xf>
    <xf numFmtId="0" fontId="6" fillId="33" borderId="2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1" fontId="2" fillId="34" borderId="29" xfId="0" applyNumberFormat="1" applyFont="1" applyFill="1" applyBorder="1" applyAlignment="1" applyProtection="1">
      <alignment horizontal="left" vertical="center"/>
      <protection locked="0"/>
    </xf>
    <xf numFmtId="0" fontId="0" fillId="0" borderId="30" xfId="0" applyBorder="1" applyAlignment="1" applyProtection="1">
      <alignment/>
      <protection locked="0"/>
    </xf>
    <xf numFmtId="0" fontId="0" fillId="0" borderId="10" xfId="0" applyBorder="1" applyAlignment="1" applyProtection="1">
      <alignment/>
      <protection locked="0"/>
    </xf>
    <xf numFmtId="49" fontId="6" fillId="33" borderId="29" xfId="0" applyNumberFormat="1" applyFont="1" applyFill="1" applyBorder="1" applyAlignment="1" applyProtection="1">
      <alignment horizontal="center" vertical="center" wrapText="1"/>
      <protection/>
    </xf>
    <xf numFmtId="49" fontId="6" fillId="33" borderId="30"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0" fontId="66" fillId="34" borderId="0" xfId="0" applyFont="1" applyFill="1" applyBorder="1" applyAlignment="1" applyProtection="1">
      <alignment horizontal="center" vertical="center" wrapText="1"/>
      <protection/>
    </xf>
    <xf numFmtId="0" fontId="66" fillId="34" borderId="18" xfId="0" applyFont="1" applyFill="1" applyBorder="1" applyAlignment="1" applyProtection="1">
      <alignment horizontal="center" vertical="center" wrapText="1"/>
      <protection/>
    </xf>
    <xf numFmtId="0" fontId="2" fillId="34" borderId="13"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15" xfId="0" applyFont="1" applyFill="1" applyBorder="1" applyAlignment="1" applyProtection="1">
      <alignment vertical="center"/>
      <protection/>
    </xf>
    <xf numFmtId="0" fontId="114" fillId="47" borderId="33" xfId="0" applyFont="1" applyFill="1" applyBorder="1" applyAlignment="1" applyProtection="1">
      <alignment horizontal="center" vertical="center"/>
      <protection locked="0"/>
    </xf>
    <xf numFmtId="0" fontId="114" fillId="47" borderId="46" xfId="0" applyFont="1" applyFill="1" applyBorder="1" applyAlignment="1" applyProtection="1">
      <alignment horizontal="center" vertical="center"/>
      <protection locked="0"/>
    </xf>
    <xf numFmtId="0" fontId="2" fillId="34" borderId="29" xfId="0" applyFont="1" applyFill="1" applyBorder="1" applyAlignment="1" applyProtection="1">
      <alignment horizontal="left" vertical="center"/>
      <protection/>
    </xf>
    <xf numFmtId="0" fontId="2" fillId="34" borderId="30" xfId="0" applyFont="1" applyFill="1" applyBorder="1" applyAlignment="1" applyProtection="1">
      <alignment horizontal="left" vertical="center"/>
      <protection/>
    </xf>
    <xf numFmtId="0" fontId="2" fillId="34" borderId="10" xfId="0" applyFont="1" applyFill="1" applyBorder="1" applyAlignment="1" applyProtection="1">
      <alignment horizontal="left" vertical="center"/>
      <protection/>
    </xf>
    <xf numFmtId="14" fontId="6" fillId="34" borderId="30"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2" fillId="37" borderId="29" xfId="0" applyFont="1" applyFill="1" applyBorder="1" applyAlignment="1" applyProtection="1">
      <alignment horizontal="center" vertical="center"/>
      <protection/>
    </xf>
    <xf numFmtId="0" fontId="2" fillId="37" borderId="30" xfId="0" applyFont="1" applyFill="1" applyBorder="1" applyAlignment="1" applyProtection="1">
      <alignment horizontal="center" vertical="center"/>
      <protection/>
    </xf>
    <xf numFmtId="0" fontId="2" fillId="37" borderId="10" xfId="0" applyFont="1" applyFill="1" applyBorder="1" applyAlignment="1" applyProtection="1">
      <alignment horizontal="center" vertical="center"/>
      <protection/>
    </xf>
    <xf numFmtId="0" fontId="0" fillId="0" borderId="30" xfId="0" applyBorder="1" applyAlignment="1" applyProtection="1">
      <alignment/>
      <protection/>
    </xf>
    <xf numFmtId="0" fontId="2" fillId="37" borderId="29" xfId="0" applyFont="1" applyFill="1" applyBorder="1" applyAlignment="1" applyProtection="1">
      <alignment horizontal="center" vertical="center" wrapText="1"/>
      <protection/>
    </xf>
    <xf numFmtId="0" fontId="2" fillId="37" borderId="30" xfId="0" applyFont="1" applyFill="1" applyBorder="1" applyAlignment="1" applyProtection="1">
      <alignment horizontal="center" vertical="center" wrapText="1"/>
      <protection/>
    </xf>
    <xf numFmtId="0" fontId="2" fillId="37" borderId="10" xfId="0" applyFont="1" applyFill="1" applyBorder="1" applyAlignment="1" applyProtection="1">
      <alignment horizontal="center" vertical="center" wrapText="1"/>
      <protection/>
    </xf>
    <xf numFmtId="0" fontId="2" fillId="48" borderId="19" xfId="0" applyFont="1" applyFill="1" applyBorder="1" applyAlignment="1" applyProtection="1">
      <alignment horizontal="left" vertical="center"/>
      <protection/>
    </xf>
    <xf numFmtId="0" fontId="2" fillId="48" borderId="12" xfId="0" applyFont="1" applyFill="1" applyBorder="1" applyAlignment="1" applyProtection="1">
      <alignment horizontal="left" vertical="center"/>
      <protection/>
    </xf>
    <xf numFmtId="0" fontId="2" fillId="48" borderId="20" xfId="0" applyFont="1" applyFill="1" applyBorder="1" applyAlignment="1" applyProtection="1">
      <alignment horizontal="left" vertical="center"/>
      <protection/>
    </xf>
    <xf numFmtId="14" fontId="2" fillId="33" borderId="30" xfId="0" applyNumberFormat="1" applyFont="1" applyFill="1" applyBorder="1" applyAlignment="1" applyProtection="1">
      <alignment horizontal="left" vertical="center" indent="1"/>
      <protection/>
    </xf>
    <xf numFmtId="0" fontId="2" fillId="33" borderId="30" xfId="0" applyFont="1" applyFill="1" applyBorder="1" applyAlignment="1" applyProtection="1">
      <alignment horizontal="left" vertical="center" indent="1"/>
      <protection/>
    </xf>
    <xf numFmtId="0" fontId="2" fillId="33" borderId="10" xfId="0" applyFont="1" applyFill="1" applyBorder="1" applyAlignment="1" applyProtection="1">
      <alignment horizontal="left" vertical="center" indent="1"/>
      <protection/>
    </xf>
    <xf numFmtId="0" fontId="21" fillId="33" borderId="29" xfId="0" applyNumberFormat="1" applyFont="1" applyFill="1" applyBorder="1" applyAlignment="1" applyProtection="1">
      <alignment horizontal="right" vertical="center" wrapText="1" indent="1"/>
      <protection/>
    </xf>
    <xf numFmtId="0" fontId="21" fillId="33" borderId="30" xfId="0" applyNumberFormat="1" applyFont="1" applyFill="1" applyBorder="1" applyAlignment="1" applyProtection="1">
      <alignment horizontal="right" vertical="center" wrapText="1" indent="1"/>
      <protection/>
    </xf>
    <xf numFmtId="0" fontId="2" fillId="33" borderId="30" xfId="0" applyFont="1" applyFill="1" applyBorder="1" applyAlignment="1" applyProtection="1">
      <alignment horizontal="center" vertical="center" wrapText="1"/>
      <protection/>
    </xf>
    <xf numFmtId="0" fontId="6" fillId="33" borderId="19" xfId="0" applyFont="1" applyFill="1" applyBorder="1" applyAlignment="1" applyProtection="1">
      <alignment horizontal="right" vertical="center" wrapText="1"/>
      <protection/>
    </xf>
    <xf numFmtId="0" fontId="6" fillId="33" borderId="12" xfId="0" applyFont="1" applyFill="1" applyBorder="1" applyAlignment="1" applyProtection="1">
      <alignment horizontal="right" vertical="center" wrapText="1"/>
      <protection/>
    </xf>
    <xf numFmtId="0" fontId="6" fillId="33" borderId="20" xfId="0" applyFont="1" applyFill="1" applyBorder="1" applyAlignment="1" applyProtection="1">
      <alignment horizontal="right" vertical="center" wrapText="1"/>
      <protection/>
    </xf>
    <xf numFmtId="0" fontId="6" fillId="34" borderId="29" xfId="0" applyFont="1" applyFill="1" applyBorder="1" applyAlignment="1" applyProtection="1">
      <alignment horizontal="center" vertical="center"/>
      <protection/>
    </xf>
    <xf numFmtId="0" fontId="6" fillId="34" borderId="30" xfId="0" applyFont="1" applyFill="1" applyBorder="1" applyAlignment="1" applyProtection="1">
      <alignment horizontal="center" vertical="center"/>
      <protection/>
    </xf>
    <xf numFmtId="0" fontId="117" fillId="47" borderId="13" xfId="0" applyFont="1" applyFill="1" applyBorder="1" applyAlignment="1" applyProtection="1">
      <alignment horizontal="center" vertical="center" wrapText="1"/>
      <protection/>
    </xf>
    <xf numFmtId="0" fontId="117" fillId="47" borderId="15" xfId="0" applyFont="1" applyFill="1" applyBorder="1" applyAlignment="1" applyProtection="1">
      <alignment horizontal="center" vertical="center" wrapText="1"/>
      <protection/>
    </xf>
    <xf numFmtId="0" fontId="117" fillId="47" borderId="19" xfId="0" applyFont="1" applyFill="1" applyBorder="1" applyAlignment="1" applyProtection="1">
      <alignment horizontal="center" vertical="center" wrapText="1"/>
      <protection/>
    </xf>
    <xf numFmtId="0" fontId="117" fillId="47" borderId="20" xfId="0" applyFont="1" applyFill="1" applyBorder="1" applyAlignment="1" applyProtection="1">
      <alignment horizontal="center" vertical="center" wrapText="1"/>
      <protection/>
    </xf>
    <xf numFmtId="14" fontId="2" fillId="33" borderId="30" xfId="0" applyNumberFormat="1" applyFont="1" applyFill="1" applyBorder="1" applyAlignment="1" applyProtection="1">
      <alignment horizontal="left" vertical="center"/>
      <protection/>
    </xf>
    <xf numFmtId="14" fontId="2" fillId="33" borderId="10" xfId="0" applyNumberFormat="1" applyFont="1" applyFill="1" applyBorder="1" applyAlignment="1" applyProtection="1">
      <alignment horizontal="left" vertical="center"/>
      <protection/>
    </xf>
    <xf numFmtId="0" fontId="116" fillId="47" borderId="29" xfId="0" applyFont="1" applyFill="1" applyBorder="1" applyAlignment="1" applyProtection="1">
      <alignment horizontal="center" vertical="center" wrapText="1"/>
      <protection/>
    </xf>
    <xf numFmtId="0" fontId="116" fillId="47" borderId="30" xfId="0" applyFont="1" applyFill="1" applyBorder="1" applyAlignment="1" applyProtection="1">
      <alignment horizontal="center" vertical="center" wrapText="1"/>
      <protection/>
    </xf>
    <xf numFmtId="0" fontId="7" fillId="39" borderId="29" xfId="0" applyFont="1" applyFill="1" applyBorder="1" applyAlignment="1" applyProtection="1">
      <alignment horizontal="center" vertical="center"/>
      <protection locked="0"/>
    </xf>
    <xf numFmtId="0" fontId="7" fillId="39" borderId="30" xfId="0" applyFont="1" applyFill="1" applyBorder="1" applyAlignment="1" applyProtection="1">
      <alignment horizontal="center" vertical="center"/>
      <protection locked="0"/>
    </xf>
    <xf numFmtId="0" fontId="7" fillId="39" borderId="10" xfId="0" applyFont="1" applyFill="1" applyBorder="1" applyAlignment="1" applyProtection="1">
      <alignment horizontal="center" vertical="center"/>
      <protection locked="0"/>
    </xf>
    <xf numFmtId="0" fontId="2" fillId="37" borderId="29" xfId="0" applyFont="1" applyFill="1" applyBorder="1" applyAlignment="1" applyProtection="1">
      <alignment horizontal="left" vertical="center" wrapText="1"/>
      <protection/>
    </xf>
    <xf numFmtId="0" fontId="2" fillId="37" borderId="30" xfId="0" applyFont="1" applyFill="1" applyBorder="1" applyAlignment="1" applyProtection="1">
      <alignment horizontal="left" vertical="center" wrapText="1"/>
      <protection/>
    </xf>
    <xf numFmtId="0" fontId="2" fillId="37" borderId="10" xfId="0" applyFont="1" applyFill="1" applyBorder="1" applyAlignment="1" applyProtection="1">
      <alignment horizontal="left" vertical="center" wrapText="1"/>
      <protection/>
    </xf>
    <xf numFmtId="49" fontId="60" fillId="45" borderId="29" xfId="0" applyNumberFormat="1" applyFont="1" applyFill="1" applyBorder="1" applyAlignment="1" applyProtection="1">
      <alignment horizontal="center" vertical="center"/>
      <protection locked="0"/>
    </xf>
    <xf numFmtId="49" fontId="60" fillId="45" borderId="10" xfId="0" applyNumberFormat="1" applyFont="1" applyFill="1" applyBorder="1" applyAlignment="1" applyProtection="1">
      <alignment horizontal="center" vertical="center"/>
      <protection locked="0"/>
    </xf>
    <xf numFmtId="0" fontId="21" fillId="33" borderId="29" xfId="0" applyFont="1" applyFill="1" applyBorder="1" applyAlignment="1" applyProtection="1">
      <alignment horizontal="center" vertical="center" wrapText="1"/>
      <protection/>
    </xf>
    <xf numFmtId="0" fontId="21" fillId="33" borderId="30" xfId="0" applyFont="1" applyFill="1" applyBorder="1" applyAlignment="1" applyProtection="1">
      <alignment horizontal="center" vertical="center" wrapText="1"/>
      <protection/>
    </xf>
    <xf numFmtId="0" fontId="21" fillId="33" borderId="10" xfId="0" applyFont="1" applyFill="1" applyBorder="1" applyAlignment="1" applyProtection="1">
      <alignment horizontal="center" vertical="center" wrapText="1"/>
      <protection/>
    </xf>
    <xf numFmtId="0" fontId="6" fillId="39" borderId="29" xfId="0" applyFont="1" applyFill="1" applyBorder="1" applyAlignment="1" applyProtection="1">
      <alignment horizontal="center" vertical="center"/>
      <protection locked="0"/>
    </xf>
    <xf numFmtId="0" fontId="6" fillId="39" borderId="10" xfId="0" applyFont="1" applyFill="1" applyBorder="1" applyAlignment="1" applyProtection="1">
      <alignment horizontal="center" vertical="center"/>
      <protection locked="0"/>
    </xf>
    <xf numFmtId="0" fontId="114" fillId="47" borderId="29" xfId="0" applyFont="1" applyFill="1" applyBorder="1" applyAlignment="1" applyProtection="1">
      <alignment horizontal="center" vertical="center"/>
      <protection/>
    </xf>
    <xf numFmtId="0" fontId="114" fillId="47" borderId="10" xfId="0" applyFont="1" applyFill="1" applyBorder="1" applyAlignment="1" applyProtection="1">
      <alignment horizontal="center" vertical="center"/>
      <protection/>
    </xf>
    <xf numFmtId="0" fontId="6" fillId="33" borderId="29"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14" fontId="116" fillId="47" borderId="30" xfId="0" applyNumberFormat="1" applyFont="1" applyFill="1" applyBorder="1" applyAlignment="1" applyProtection="1">
      <alignment horizontal="left" vertical="center" wrapText="1"/>
      <protection/>
    </xf>
    <xf numFmtId="0" fontId="116" fillId="47" borderId="30" xfId="0" applyFont="1" applyFill="1" applyBorder="1" applyAlignment="1" applyProtection="1">
      <alignment horizontal="left" vertical="center" wrapText="1"/>
      <protection/>
    </xf>
    <xf numFmtId="0" fontId="116" fillId="47" borderId="10" xfId="0" applyFont="1" applyFill="1" applyBorder="1" applyAlignment="1" applyProtection="1">
      <alignment horizontal="left" vertical="center" wrapText="1"/>
      <protection/>
    </xf>
    <xf numFmtId="0" fontId="71" fillId="34" borderId="13" xfId="0" applyFont="1" applyFill="1" applyBorder="1" applyAlignment="1" applyProtection="1">
      <alignment horizontal="right" vertical="center"/>
      <protection/>
    </xf>
    <xf numFmtId="0" fontId="71" fillId="34" borderId="14" xfId="0" applyFont="1" applyFill="1" applyBorder="1" applyAlignment="1" applyProtection="1">
      <alignment horizontal="right" vertical="center"/>
      <protection/>
    </xf>
    <xf numFmtId="0" fontId="71" fillId="34" borderId="15" xfId="0" applyFont="1" applyFill="1" applyBorder="1" applyAlignment="1" applyProtection="1">
      <alignment horizontal="right" vertical="center"/>
      <protection/>
    </xf>
    <xf numFmtId="0" fontId="2" fillId="33" borderId="30" xfId="0" applyFont="1" applyFill="1" applyBorder="1" applyAlignment="1" applyProtection="1">
      <alignment horizontal="left" vertical="center"/>
      <protection/>
    </xf>
    <xf numFmtId="0" fontId="2" fillId="39" borderId="29" xfId="0" applyFont="1" applyFill="1" applyBorder="1" applyAlignment="1" applyProtection="1">
      <alignment horizontal="center" vertical="center"/>
      <protection locked="0"/>
    </xf>
    <xf numFmtId="0" fontId="2" fillId="39" borderId="10" xfId="0" applyFont="1" applyFill="1" applyBorder="1" applyAlignment="1" applyProtection="1">
      <alignment horizontal="center" vertical="center"/>
      <protection locked="0"/>
    </xf>
    <xf numFmtId="0" fontId="2" fillId="33" borderId="29"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179" fontId="2" fillId="34" borderId="29" xfId="0" applyNumberFormat="1" applyFont="1" applyFill="1" applyBorder="1" applyAlignment="1" applyProtection="1">
      <alignment horizontal="left" vertical="center"/>
      <protection locked="0"/>
    </xf>
    <xf numFmtId="179" fontId="2" fillId="34" borderId="30" xfId="0" applyNumberFormat="1" applyFont="1" applyFill="1" applyBorder="1" applyAlignment="1" applyProtection="1">
      <alignment horizontal="left" vertical="center"/>
      <protection locked="0"/>
    </xf>
    <xf numFmtId="179" fontId="2" fillId="34" borderId="10" xfId="0" applyNumberFormat="1" applyFont="1" applyFill="1" applyBorder="1" applyAlignment="1" applyProtection="1">
      <alignment horizontal="left" vertical="center"/>
      <protection locked="0"/>
    </xf>
    <xf numFmtId="1" fontId="2" fillId="34" borderId="19" xfId="0" applyNumberFormat="1" applyFont="1" applyFill="1" applyBorder="1" applyAlignment="1" applyProtection="1">
      <alignment vertical="center"/>
      <protection/>
    </xf>
    <xf numFmtId="1" fontId="2" fillId="34" borderId="12" xfId="0" applyNumberFormat="1" applyFont="1" applyFill="1" applyBorder="1" applyAlignment="1" applyProtection="1">
      <alignment vertical="center"/>
      <protection/>
    </xf>
    <xf numFmtId="1" fontId="2" fillId="34" borderId="20" xfId="0" applyNumberFormat="1" applyFont="1" applyFill="1" applyBorder="1" applyAlignment="1" applyProtection="1">
      <alignment vertical="center"/>
      <protection/>
    </xf>
    <xf numFmtId="0" fontId="114" fillId="47" borderId="30" xfId="0" applyFont="1" applyFill="1" applyBorder="1" applyAlignment="1" applyProtection="1">
      <alignment horizontal="center" vertical="center"/>
      <protection/>
    </xf>
    <xf numFmtId="0" fontId="21" fillId="33" borderId="29" xfId="0" applyFont="1" applyFill="1" applyBorder="1" applyAlignment="1" applyProtection="1">
      <alignment horizontal="right" vertical="center"/>
      <protection/>
    </xf>
    <xf numFmtId="0" fontId="21" fillId="33" borderId="30" xfId="0" applyFont="1" applyFill="1" applyBorder="1" applyAlignment="1" applyProtection="1">
      <alignment horizontal="right" vertical="center"/>
      <protection/>
    </xf>
    <xf numFmtId="0" fontId="34"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top" wrapText="1"/>
      <protection locked="0"/>
    </xf>
    <xf numFmtId="0" fontId="52" fillId="0" borderId="22" xfId="0" applyFont="1" applyBorder="1" applyAlignment="1" applyProtection="1">
      <alignment horizontal="center" vertical="center" wrapText="1"/>
      <protection hidden="1" locked="0"/>
    </xf>
    <xf numFmtId="0" fontId="52" fillId="0" borderId="23" xfId="0" applyFont="1" applyBorder="1" applyAlignment="1" applyProtection="1">
      <alignment horizontal="center" vertical="center" wrapText="1"/>
      <protection hidden="1" locked="0"/>
    </xf>
    <xf numFmtId="0" fontId="52" fillId="0" borderId="24" xfId="0" applyFont="1" applyBorder="1" applyAlignment="1" applyProtection="1">
      <alignment horizontal="center" vertical="center" wrapText="1"/>
      <protection hidden="1" locked="0"/>
    </xf>
    <xf numFmtId="0" fontId="55" fillId="0" borderId="0" xfId="0" applyFont="1" applyAlignment="1" applyProtection="1">
      <alignment horizontal="center" vertical="center"/>
      <protection hidden="1" locked="0"/>
    </xf>
    <xf numFmtId="0" fontId="52" fillId="0" borderId="47" xfId="0" applyFont="1" applyBorder="1" applyAlignment="1" applyProtection="1">
      <alignment horizontal="center" vertical="center" textRotation="90" wrapText="1"/>
      <protection hidden="1" locked="0"/>
    </xf>
    <xf numFmtId="0" fontId="52" fillId="0" borderId="46" xfId="0" applyFont="1" applyBorder="1" applyAlignment="1" applyProtection="1">
      <alignment horizontal="center" vertical="center" textRotation="90" wrapText="1"/>
      <protection hidden="1" locked="0"/>
    </xf>
    <xf numFmtId="0" fontId="58" fillId="0" borderId="0" xfId="0" applyFont="1" applyAlignment="1" applyProtection="1">
      <alignment horizontal="left" vertical="top" wrapText="1"/>
      <protection hidden="1" locked="0"/>
    </xf>
    <xf numFmtId="0" fontId="55" fillId="0" borderId="0" xfId="0" applyFont="1" applyAlignment="1" applyProtection="1">
      <alignment horizontal="center" vertical="top" wrapText="1"/>
      <protection hidden="1" locked="0"/>
    </xf>
    <xf numFmtId="0" fontId="59" fillId="0" borderId="29" xfId="0" applyFont="1" applyBorder="1" applyAlignment="1">
      <alignment horizontal="left" vertical="center" wrapText="1"/>
    </xf>
    <xf numFmtId="0" fontId="59" fillId="0" borderId="30" xfId="0" applyFont="1" applyBorder="1" applyAlignment="1">
      <alignment horizontal="left" vertical="center" wrapText="1"/>
    </xf>
    <xf numFmtId="0" fontId="59" fillId="0" borderId="10" xfId="0" applyFont="1" applyBorder="1" applyAlignment="1">
      <alignment horizontal="left" vertical="center" wrapText="1"/>
    </xf>
    <xf numFmtId="0" fontId="52" fillId="0" borderId="47" xfId="0" applyFont="1" applyBorder="1" applyAlignment="1" applyProtection="1">
      <alignment vertical="center" wrapText="1"/>
      <protection hidden="1" locked="0"/>
    </xf>
    <xf numFmtId="0" fontId="52" fillId="0" borderId="46" xfId="0" applyFont="1" applyBorder="1" applyAlignment="1" applyProtection="1">
      <alignment/>
      <protection hidden="1" locked="0"/>
    </xf>
    <xf numFmtId="0" fontId="53" fillId="0" borderId="47" xfId="0" applyFont="1" applyBorder="1" applyAlignment="1" applyProtection="1">
      <alignment horizontal="center" vertical="center" wrapText="1"/>
      <protection hidden="1" locked="0"/>
    </xf>
    <xf numFmtId="0" fontId="53" fillId="0" borderId="46" xfId="0" applyFont="1" applyBorder="1" applyAlignment="1" applyProtection="1">
      <alignment/>
      <protection hidden="1" locked="0"/>
    </xf>
    <xf numFmtId="1" fontId="55" fillId="0" borderId="22" xfId="0" applyNumberFormat="1" applyFont="1" applyBorder="1" applyAlignment="1" applyProtection="1">
      <alignment horizontal="center" vertical="center" wrapText="1"/>
      <protection hidden="1" locked="0"/>
    </xf>
    <xf numFmtId="1" fontId="55" fillId="0" borderId="24" xfId="0" applyNumberFormat="1" applyFont="1" applyBorder="1" applyAlignment="1" applyProtection="1">
      <alignment horizontal="center" vertical="center" wrapText="1"/>
      <protection hidden="1" locked="0"/>
    </xf>
    <xf numFmtId="0" fontId="67" fillId="0" borderId="0" xfId="0" applyFont="1" applyAlignment="1">
      <alignment horizontal="center" vertical="center" shrinkToFit="1"/>
    </xf>
    <xf numFmtId="0" fontId="55" fillId="0" borderId="0" xfId="0" applyFont="1" applyAlignment="1" applyProtection="1">
      <alignment horizontal="left" vertical="top" wrapText="1"/>
      <protection hidden="1" locked="0"/>
    </xf>
    <xf numFmtId="0" fontId="54" fillId="0" borderId="16" xfId="0" applyFont="1" applyBorder="1" applyAlignment="1" applyProtection="1">
      <alignment horizontal="center" vertical="center" textRotation="90" wrapText="1"/>
      <protection hidden="1" locked="0"/>
    </xf>
    <xf numFmtId="0" fontId="39" fillId="0" borderId="0" xfId="0" applyFont="1" applyAlignment="1" applyProtection="1">
      <alignment horizontal="center" vertical="center" wrapText="1" shrinkToFit="1"/>
      <protection locked="0"/>
    </xf>
    <xf numFmtId="40" fontId="27" fillId="0" borderId="0" xfId="0" applyNumberFormat="1" applyFont="1" applyAlignment="1" applyProtection="1">
      <alignment horizontal="left" vertical="top" wrapText="1"/>
      <protection/>
    </xf>
    <xf numFmtId="0" fontId="27" fillId="0" borderId="0" xfId="0" applyFont="1" applyAlignment="1" applyProtection="1">
      <alignment horizontal="left" vertical="top" wrapText="1"/>
      <protection/>
    </xf>
    <xf numFmtId="0" fontId="33" fillId="0" borderId="0" xfId="0" applyFont="1" applyAlignment="1">
      <alignment vertical="center"/>
    </xf>
    <xf numFmtId="0" fontId="27" fillId="0" borderId="0" xfId="0" applyFont="1" applyBorder="1" applyAlignment="1">
      <alignment horizontal="center" vertical="center" textRotation="90" wrapText="1"/>
    </xf>
    <xf numFmtId="0" fontId="27" fillId="0" borderId="0" xfId="0" applyFont="1" applyAlignment="1">
      <alignment/>
    </xf>
    <xf numFmtId="0" fontId="32" fillId="0" borderId="0" xfId="0" applyFont="1" applyAlignment="1">
      <alignment horizontal="left"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2" fontId="33" fillId="0" borderId="25" xfId="0" applyNumberFormat="1" applyFont="1" applyBorder="1" applyAlignment="1">
      <alignment horizontal="right" vertical="center"/>
    </xf>
    <xf numFmtId="0" fontId="27" fillId="0" borderId="48" xfId="0" applyFont="1" applyBorder="1" applyAlignment="1" applyProtection="1">
      <alignment horizontal="left" vertical="top" wrapText="1"/>
      <protection/>
    </xf>
    <xf numFmtId="0" fontId="27" fillId="0" borderId="25" xfId="0" applyFont="1" applyBorder="1" applyAlignment="1" applyProtection="1">
      <alignment horizontal="left" vertical="top" wrapText="1"/>
      <protection/>
    </xf>
    <xf numFmtId="0" fontId="27" fillId="0" borderId="33" xfId="0" applyFont="1" applyBorder="1" applyAlignment="1" applyProtection="1">
      <alignment horizontal="left" vertical="top" wrapText="1"/>
      <protection/>
    </xf>
    <xf numFmtId="0" fontId="27" fillId="0" borderId="0" xfId="0" applyFont="1" applyBorder="1" applyAlignment="1">
      <alignment horizontal="center" vertical="center" wrapText="1"/>
    </xf>
    <xf numFmtId="0" fontId="27" fillId="0" borderId="0" xfId="0" applyFont="1" applyBorder="1" applyAlignment="1">
      <alignment horizontal="center" vertical="center"/>
    </xf>
    <xf numFmtId="0" fontId="50" fillId="0" borderId="0" xfId="0" applyFont="1" applyAlignment="1">
      <alignment horizontal="center" textRotation="90"/>
    </xf>
    <xf numFmtId="0" fontId="41" fillId="0" borderId="21" xfId="0" applyFont="1" applyBorder="1" applyAlignment="1">
      <alignment horizontal="right" vertical="center"/>
    </xf>
    <xf numFmtId="0" fontId="41" fillId="0" borderId="0" xfId="0" applyFont="1" applyAlignment="1">
      <alignment horizontal="right"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27" fillId="0" borderId="25" xfId="0" applyFont="1" applyBorder="1" applyAlignment="1">
      <alignment horizontal="center" vertical="center"/>
    </xf>
    <xf numFmtId="0" fontId="27" fillId="0" borderId="0" xfId="0" applyFont="1" applyAlignment="1">
      <alignment/>
    </xf>
    <xf numFmtId="0" fontId="27" fillId="0" borderId="25" xfId="0" applyFont="1" applyBorder="1" applyAlignment="1">
      <alignment/>
    </xf>
    <xf numFmtId="0" fontId="33" fillId="0" borderId="25" xfId="0" applyFont="1" applyBorder="1" applyAlignment="1">
      <alignment horizontal="left"/>
    </xf>
    <xf numFmtId="2" fontId="32" fillId="0" borderId="26" xfId="0" applyNumberFormat="1" applyFont="1" applyBorder="1" applyAlignment="1">
      <alignment horizontal="center" vertical="center" shrinkToFit="1"/>
    </xf>
    <xf numFmtId="2" fontId="32" fillId="0" borderId="27" xfId="0" applyNumberFormat="1" applyFont="1" applyBorder="1" applyAlignment="1">
      <alignment horizontal="center" vertical="center" shrinkToFit="1"/>
    </xf>
    <xf numFmtId="2" fontId="32" fillId="0" borderId="49" xfId="0" applyNumberFormat="1" applyFont="1" applyBorder="1" applyAlignment="1">
      <alignment horizontal="center" vertical="center" shrinkToFit="1"/>
    </xf>
    <xf numFmtId="2" fontId="32" fillId="0" borderId="28" xfId="0" applyNumberFormat="1" applyFont="1" applyBorder="1" applyAlignment="1">
      <alignment horizontal="center" vertical="center" shrinkToFit="1"/>
    </xf>
    <xf numFmtId="2" fontId="32" fillId="0" borderId="25" xfId="0" applyNumberFormat="1" applyFont="1" applyBorder="1" applyAlignment="1">
      <alignment horizontal="center" vertical="center" shrinkToFit="1"/>
    </xf>
    <xf numFmtId="2" fontId="32" fillId="0" borderId="33" xfId="0" applyNumberFormat="1" applyFont="1" applyBorder="1" applyAlignment="1">
      <alignment horizontal="center" vertical="center" shrinkToFit="1"/>
    </xf>
    <xf numFmtId="0" fontId="27" fillId="0" borderId="0" xfId="0" applyFont="1" applyAlignment="1">
      <alignment horizontal="center"/>
    </xf>
    <xf numFmtId="40" fontId="32" fillId="0" borderId="0" xfId="0" applyNumberFormat="1" applyFont="1" applyAlignment="1">
      <alignment horizontal="left"/>
    </xf>
    <xf numFmtId="0" fontId="40" fillId="0" borderId="0" xfId="0" applyFont="1" applyAlignment="1">
      <alignment horizontal="center" vertical="center"/>
    </xf>
    <xf numFmtId="0" fontId="72" fillId="0" borderId="0" xfId="0" applyFont="1" applyAlignment="1">
      <alignment horizontal="center" vertical="center"/>
    </xf>
    <xf numFmtId="0" fontId="32" fillId="0" borderId="0" xfId="0" applyFont="1" applyAlignment="1">
      <alignment horizontal="left"/>
    </xf>
    <xf numFmtId="0" fontId="31" fillId="0" borderId="0" xfId="0" applyFont="1" applyAlignment="1">
      <alignment horizontal="center" vertical="center"/>
    </xf>
    <xf numFmtId="1" fontId="22" fillId="0" borderId="22" xfId="0" applyNumberFormat="1" applyFont="1" applyBorder="1" applyAlignment="1">
      <alignment horizontal="center" vertical="center"/>
    </xf>
    <xf numFmtId="1" fontId="22" fillId="0" borderId="24" xfId="0" applyNumberFormat="1" applyFont="1" applyBorder="1" applyAlignment="1">
      <alignment horizontal="center" vertical="center"/>
    </xf>
    <xf numFmtId="0" fontId="45" fillId="0" borderId="23" xfId="0" applyFont="1" applyBorder="1" applyAlignment="1">
      <alignment/>
    </xf>
    <xf numFmtId="0" fontId="32" fillId="0" borderId="26" xfId="0" applyFont="1" applyBorder="1" applyAlignment="1">
      <alignment horizontal="center" vertical="center"/>
    </xf>
    <xf numFmtId="0" fontId="32" fillId="0" borderId="27" xfId="0" applyFont="1" applyBorder="1" applyAlignment="1">
      <alignment horizontal="center" vertical="center"/>
    </xf>
    <xf numFmtId="0" fontId="32" fillId="0" borderId="49" xfId="0" applyFont="1" applyBorder="1" applyAlignment="1">
      <alignment horizontal="center" vertical="center"/>
    </xf>
    <xf numFmtId="0" fontId="27" fillId="0" borderId="0" xfId="0" applyFont="1" applyBorder="1" applyAlignment="1">
      <alignment horizontal="left" wrapText="1"/>
    </xf>
    <xf numFmtId="0" fontId="44" fillId="0" borderId="25" xfId="0" applyFont="1" applyBorder="1" applyAlignment="1">
      <alignment horizontal="left" vertical="center"/>
    </xf>
    <xf numFmtId="0" fontId="27" fillId="0" borderId="22" xfId="0" applyFont="1" applyBorder="1" applyAlignment="1">
      <alignment horizontal="center"/>
    </xf>
    <xf numFmtId="0" fontId="27" fillId="0" borderId="24" xfId="0" applyFont="1" applyBorder="1" applyAlignment="1">
      <alignment horizontal="center"/>
    </xf>
    <xf numFmtId="0" fontId="42" fillId="0" borderId="26" xfId="0" applyFont="1" applyBorder="1" applyAlignment="1">
      <alignment horizontal="left" vertical="center" wrapText="1"/>
    </xf>
    <xf numFmtId="0" fontId="42" fillId="0" borderId="4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3" xfId="0" applyFont="1" applyBorder="1" applyAlignment="1">
      <alignment horizontal="left" vertical="center" wrapText="1"/>
    </xf>
    <xf numFmtId="1" fontId="32" fillId="0" borderId="26" xfId="0" applyNumberFormat="1" applyFont="1" applyBorder="1" applyAlignment="1">
      <alignment horizontal="center" vertical="center"/>
    </xf>
    <xf numFmtId="1" fontId="32" fillId="0" borderId="27" xfId="0" applyNumberFormat="1" applyFont="1" applyBorder="1" applyAlignment="1">
      <alignment horizontal="center" vertical="center"/>
    </xf>
    <xf numFmtId="1" fontId="32" fillId="0" borderId="49" xfId="0" applyNumberFormat="1" applyFont="1" applyBorder="1" applyAlignment="1">
      <alignment horizontal="center" vertical="center"/>
    </xf>
    <xf numFmtId="1" fontId="32" fillId="0" borderId="28" xfId="0" applyNumberFormat="1" applyFont="1" applyBorder="1" applyAlignment="1">
      <alignment horizontal="center" vertical="center"/>
    </xf>
    <xf numFmtId="1" fontId="32" fillId="0" borderId="25" xfId="0" applyNumberFormat="1" applyFont="1" applyBorder="1" applyAlignment="1">
      <alignment horizontal="center" vertical="center"/>
    </xf>
    <xf numFmtId="1" fontId="32" fillId="0" borderId="33" xfId="0" applyNumberFormat="1" applyFont="1" applyBorder="1" applyAlignment="1">
      <alignment horizontal="center" vertical="center"/>
    </xf>
    <xf numFmtId="0" fontId="27" fillId="0" borderId="0" xfId="0" applyFont="1" applyBorder="1" applyAlignment="1">
      <alignment/>
    </xf>
    <xf numFmtId="0" fontId="27" fillId="0" borderId="18" xfId="0" applyFont="1" applyBorder="1" applyAlignment="1">
      <alignment/>
    </xf>
    <xf numFmtId="0" fontId="27" fillId="0" borderId="26"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33" xfId="0" applyFont="1" applyBorder="1" applyAlignment="1">
      <alignment horizontal="center" vertical="center" wrapText="1"/>
    </xf>
    <xf numFmtId="2" fontId="41" fillId="0" borderId="27" xfId="0" applyNumberFormat="1" applyFont="1" applyBorder="1" applyAlignment="1">
      <alignment horizontal="left" vertical="center" wrapText="1"/>
    </xf>
    <xf numFmtId="2" fontId="41" fillId="0" borderId="49" xfId="0" applyNumberFormat="1" applyFont="1" applyBorder="1" applyAlignment="1">
      <alignment horizontal="left" vertical="center" wrapText="1"/>
    </xf>
    <xf numFmtId="2" fontId="41" fillId="0" borderId="25" xfId="0" applyNumberFormat="1" applyFont="1" applyBorder="1" applyAlignment="1">
      <alignment horizontal="left" vertical="center" wrapText="1"/>
    </xf>
    <xf numFmtId="2" fontId="41" fillId="0" borderId="33" xfId="0" applyNumberFormat="1" applyFont="1" applyBorder="1" applyAlignment="1">
      <alignment horizontal="left" vertical="center" wrapText="1"/>
    </xf>
    <xf numFmtId="2" fontId="42" fillId="0" borderId="26" xfId="0" applyNumberFormat="1" applyFont="1" applyBorder="1" applyAlignment="1">
      <alignment horizontal="left" vertical="center" wrapText="1"/>
    </xf>
    <xf numFmtId="2" fontId="42" fillId="0" borderId="27" xfId="0" applyNumberFormat="1" applyFont="1" applyBorder="1" applyAlignment="1">
      <alignment horizontal="left" vertical="center" wrapText="1"/>
    </xf>
    <xf numFmtId="2" fontId="42" fillId="0" borderId="49" xfId="0" applyNumberFormat="1" applyFont="1" applyBorder="1" applyAlignment="1">
      <alignment horizontal="left" vertical="center" wrapText="1"/>
    </xf>
    <xf numFmtId="2" fontId="42" fillId="0" borderId="28" xfId="0" applyNumberFormat="1" applyFont="1" applyBorder="1" applyAlignment="1">
      <alignment horizontal="left" vertical="center" wrapText="1"/>
    </xf>
    <xf numFmtId="2" fontId="42" fillId="0" borderId="25" xfId="0" applyNumberFormat="1" applyFont="1" applyBorder="1" applyAlignment="1">
      <alignment horizontal="left" vertical="center" wrapText="1"/>
    </xf>
    <xf numFmtId="2" fontId="42" fillId="0" borderId="33" xfId="0" applyNumberFormat="1" applyFont="1" applyBorder="1" applyAlignment="1">
      <alignment horizontal="left" vertical="center" wrapText="1"/>
    </xf>
    <xf numFmtId="0" fontId="27" fillId="0" borderId="49" xfId="0" applyFont="1" applyBorder="1" applyAlignment="1">
      <alignment horizontal="center" vertical="center"/>
    </xf>
    <xf numFmtId="0" fontId="27" fillId="0" borderId="33" xfId="0" applyFont="1" applyBorder="1" applyAlignment="1">
      <alignment horizontal="center" vertical="center"/>
    </xf>
    <xf numFmtId="1" fontId="31" fillId="0" borderId="22" xfId="0" applyNumberFormat="1" applyFont="1" applyBorder="1" applyAlignment="1">
      <alignment horizontal="center" vertical="center"/>
    </xf>
    <xf numFmtId="1" fontId="31" fillId="0" borderId="23" xfId="0" applyNumberFormat="1" applyFont="1" applyBorder="1" applyAlignment="1">
      <alignment horizontal="center" vertical="center"/>
    </xf>
    <xf numFmtId="1" fontId="31" fillId="0" borderId="24" xfId="0" applyNumberFormat="1" applyFont="1" applyBorder="1" applyAlignment="1">
      <alignment horizontal="center" vertical="center"/>
    </xf>
    <xf numFmtId="1" fontId="27" fillId="0" borderId="0" xfId="0" applyNumberFormat="1" applyFont="1" applyAlignment="1">
      <alignment horizontal="left" vertical="top" wrapText="1"/>
    </xf>
    <xf numFmtId="2" fontId="27" fillId="0" borderId="27" xfId="0" applyNumberFormat="1" applyFont="1" applyBorder="1" applyAlignment="1">
      <alignment horizontal="right" vertical="center"/>
    </xf>
    <xf numFmtId="2" fontId="27" fillId="0" borderId="49" xfId="0" applyNumberFormat="1" applyFont="1" applyBorder="1" applyAlignment="1">
      <alignment horizontal="right" vertical="center"/>
    </xf>
    <xf numFmtId="0" fontId="32" fillId="0" borderId="22" xfId="0" applyFont="1" applyBorder="1" applyAlignment="1">
      <alignment vertical="center" shrinkToFit="1"/>
    </xf>
    <xf numFmtId="0" fontId="32" fillId="0" borderId="23" xfId="0" applyFont="1" applyBorder="1" applyAlignment="1">
      <alignment vertical="center" shrinkToFit="1"/>
    </xf>
    <xf numFmtId="0" fontId="32" fillId="0" borderId="24" xfId="0" applyFont="1" applyBorder="1" applyAlignment="1">
      <alignment vertical="center" shrinkToFit="1"/>
    </xf>
    <xf numFmtId="0" fontId="27" fillId="0" borderId="21" xfId="0" applyFont="1" applyBorder="1" applyAlignment="1">
      <alignment horizontal="center" vertical="center"/>
    </xf>
    <xf numFmtId="2" fontId="27" fillId="0" borderId="0" xfId="0" applyNumberFormat="1" applyFont="1" applyBorder="1" applyAlignment="1">
      <alignment horizontal="right" vertical="center"/>
    </xf>
    <xf numFmtId="0" fontId="27" fillId="0" borderId="48" xfId="0" applyFont="1" applyBorder="1" applyAlignment="1">
      <alignment horizontal="right" vertical="center"/>
    </xf>
    <xf numFmtId="0" fontId="32" fillId="0" borderId="22"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 fillId="0" borderId="0" xfId="0" applyFont="1" applyAlignment="1">
      <alignment horizontal="left" vertical="center"/>
    </xf>
    <xf numFmtId="0" fontId="31" fillId="0" borderId="16" xfId="0" applyFont="1" applyBorder="1" applyAlignment="1">
      <alignment horizontal="center" vertical="center"/>
    </xf>
    <xf numFmtId="2" fontId="31" fillId="0" borderId="16" xfId="0" applyNumberFormat="1" applyFont="1" applyBorder="1" applyAlignment="1">
      <alignment horizontal="center" vertical="center"/>
    </xf>
    <xf numFmtId="1" fontId="32" fillId="0" borderId="0" xfId="0" applyNumberFormat="1" applyFont="1" applyAlignment="1">
      <alignment horizontal="left" vertical="center"/>
    </xf>
    <xf numFmtId="0" fontId="27" fillId="0" borderId="22" xfId="0" applyFont="1" applyBorder="1" applyAlignment="1">
      <alignment vertical="center" wrapText="1"/>
    </xf>
    <xf numFmtId="0" fontId="27" fillId="0" borderId="23" xfId="0" applyFont="1" applyBorder="1" applyAlignment="1">
      <alignment vertical="center" wrapText="1"/>
    </xf>
    <xf numFmtId="0" fontId="27" fillId="0" borderId="24" xfId="0" applyFont="1" applyBorder="1" applyAlignment="1">
      <alignment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7"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46" xfId="0" applyFont="1" applyBorder="1" applyAlignment="1">
      <alignment horizontal="center" vertical="center" wrapText="1"/>
    </xf>
    <xf numFmtId="0" fontId="27" fillId="0" borderId="21"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48" xfId="0" applyNumberFormat="1" applyFont="1" applyBorder="1" applyAlignment="1">
      <alignment horizontal="center" vertical="center"/>
    </xf>
    <xf numFmtId="0" fontId="27" fillId="0" borderId="28" xfId="0" applyNumberFormat="1" applyFont="1" applyBorder="1" applyAlignment="1">
      <alignment horizontal="center" vertical="center"/>
    </xf>
    <xf numFmtId="0" fontId="27" fillId="0" borderId="25" xfId="0" applyNumberFormat="1" applyFont="1" applyBorder="1" applyAlignment="1">
      <alignment horizontal="center" vertical="center"/>
    </xf>
    <xf numFmtId="0" fontId="27" fillId="0" borderId="33" xfId="0" applyNumberFormat="1" applyFont="1" applyBorder="1" applyAlignment="1">
      <alignment horizontal="center" vertical="center"/>
    </xf>
    <xf numFmtId="2" fontId="32" fillId="0" borderId="22" xfId="0" applyNumberFormat="1" applyFont="1" applyBorder="1" applyAlignment="1">
      <alignment horizontal="right" vertical="center" wrapText="1"/>
    </xf>
    <xf numFmtId="2" fontId="32" fillId="0" borderId="23" xfId="0" applyNumberFormat="1" applyFont="1" applyBorder="1" applyAlignment="1">
      <alignment horizontal="right" vertical="center" wrapText="1"/>
    </xf>
    <xf numFmtId="2" fontId="32" fillId="0" borderId="24" xfId="0" applyNumberFormat="1" applyFont="1" applyBorder="1" applyAlignment="1">
      <alignment horizontal="right" vertical="center" wrapText="1"/>
    </xf>
    <xf numFmtId="0" fontId="27" fillId="0" borderId="0" xfId="0" applyFont="1" applyAlignment="1">
      <alignment horizontal="center" vertical="center" shrinkToFit="1"/>
    </xf>
    <xf numFmtId="0" fontId="32" fillId="0" borderId="0" xfId="0" applyFont="1" applyAlignment="1">
      <alignment horizontal="center" vertical="center"/>
    </xf>
    <xf numFmtId="0" fontId="32" fillId="0" borderId="16" xfId="0" applyFont="1" applyBorder="1" applyAlignment="1">
      <alignment horizontal="left" vertical="center" shrinkToFit="1"/>
    </xf>
    <xf numFmtId="0" fontId="32" fillId="0" borderId="21" xfId="0" applyNumberFormat="1" applyFont="1" applyBorder="1" applyAlignment="1">
      <alignment horizontal="center" vertical="center" wrapText="1"/>
    </xf>
    <xf numFmtId="0" fontId="32" fillId="0" borderId="0" xfId="0" applyNumberFormat="1" applyFont="1" applyBorder="1" applyAlignment="1">
      <alignment horizontal="center" vertical="center" wrapText="1"/>
    </xf>
    <xf numFmtId="0" fontId="32" fillId="0" borderId="48" xfId="0" applyNumberFormat="1" applyFont="1" applyBorder="1" applyAlignment="1">
      <alignment horizontal="center" vertical="center" wrapText="1"/>
    </xf>
    <xf numFmtId="0" fontId="32" fillId="0" borderId="28" xfId="0" applyNumberFormat="1" applyFont="1" applyBorder="1" applyAlignment="1">
      <alignment horizontal="center" vertical="center" wrapText="1"/>
    </xf>
    <xf numFmtId="0" fontId="32" fillId="0" borderId="25" xfId="0" applyNumberFormat="1" applyFont="1" applyBorder="1" applyAlignment="1">
      <alignment horizontal="center" vertical="center" wrapText="1"/>
    </xf>
    <xf numFmtId="0" fontId="32" fillId="0" borderId="33" xfId="0" applyNumberFormat="1" applyFont="1" applyBorder="1" applyAlignment="1">
      <alignment horizontal="center" vertical="center" wrapText="1"/>
    </xf>
    <xf numFmtId="1" fontId="32" fillId="0" borderId="26" xfId="0" applyNumberFormat="1" applyFont="1" applyBorder="1" applyAlignment="1">
      <alignment horizontal="center" vertical="center" wrapText="1"/>
    </xf>
    <xf numFmtId="1" fontId="32" fillId="0" borderId="27" xfId="0" applyNumberFormat="1" applyFont="1" applyBorder="1" applyAlignment="1">
      <alignment horizontal="center" vertical="center" wrapText="1"/>
    </xf>
    <xf numFmtId="1" fontId="32" fillId="0" borderId="49" xfId="0" applyNumberFormat="1" applyFont="1" applyBorder="1" applyAlignment="1">
      <alignment horizontal="center" vertical="center" wrapText="1"/>
    </xf>
    <xf numFmtId="1" fontId="32" fillId="0" borderId="21" xfId="0" applyNumberFormat="1" applyFont="1" applyBorder="1" applyAlignment="1">
      <alignment horizontal="center" vertical="center" wrapText="1"/>
    </xf>
    <xf numFmtId="1" fontId="32" fillId="0" borderId="0" xfId="0" applyNumberFormat="1" applyFont="1" applyBorder="1" applyAlignment="1">
      <alignment horizontal="center" vertical="center" wrapText="1"/>
    </xf>
    <xf numFmtId="1" fontId="32" fillId="0" borderId="48" xfId="0" applyNumberFormat="1" applyFont="1" applyBorder="1" applyAlignment="1">
      <alignment horizontal="center" vertical="center" wrapText="1"/>
    </xf>
    <xf numFmtId="1" fontId="32" fillId="0" borderId="28" xfId="0" applyNumberFormat="1" applyFont="1" applyBorder="1" applyAlignment="1">
      <alignment horizontal="center" vertical="center" wrapText="1"/>
    </xf>
    <xf numFmtId="1" fontId="32" fillId="0" borderId="25" xfId="0" applyNumberFormat="1" applyFont="1" applyBorder="1" applyAlignment="1">
      <alignment horizontal="center" vertical="center" wrapText="1"/>
    </xf>
    <xf numFmtId="1" fontId="32" fillId="0" borderId="33" xfId="0" applyNumberFormat="1" applyFont="1" applyBorder="1" applyAlignment="1">
      <alignment horizontal="center" vertical="center" wrapText="1"/>
    </xf>
    <xf numFmtId="2" fontId="32" fillId="0" borderId="27" xfId="0" applyNumberFormat="1" applyFont="1" applyBorder="1" applyAlignment="1">
      <alignment horizontal="right" vertical="center" wrapText="1"/>
    </xf>
    <xf numFmtId="2" fontId="32" fillId="0" borderId="49" xfId="0" applyNumberFormat="1" applyFont="1" applyBorder="1" applyAlignment="1">
      <alignment horizontal="right" vertical="center" wrapText="1"/>
    </xf>
    <xf numFmtId="2" fontId="32" fillId="0" borderId="0" xfId="0" applyNumberFormat="1" applyFont="1" applyBorder="1" applyAlignment="1">
      <alignment horizontal="right" vertical="center" wrapText="1"/>
    </xf>
    <xf numFmtId="2" fontId="32" fillId="0" borderId="48" xfId="0" applyNumberFormat="1" applyFont="1" applyBorder="1" applyAlignment="1">
      <alignment horizontal="right" vertical="center" wrapText="1"/>
    </xf>
    <xf numFmtId="0" fontId="73" fillId="0" borderId="0" xfId="0" applyFont="1" applyAlignment="1">
      <alignment horizontal="center" vertical="center"/>
    </xf>
    <xf numFmtId="0" fontId="27" fillId="0" borderId="22" xfId="0" applyFont="1" applyBorder="1" applyAlignment="1">
      <alignment horizontal="left" vertical="center" wrapText="1"/>
    </xf>
    <xf numFmtId="0" fontId="27" fillId="0" borderId="23" xfId="0" applyFont="1" applyBorder="1" applyAlignment="1">
      <alignment horizontal="left" vertical="center" wrapText="1"/>
    </xf>
    <xf numFmtId="0" fontId="27" fillId="0" borderId="24" xfId="0" applyFont="1" applyBorder="1" applyAlignment="1">
      <alignment horizontal="left" vertical="center" wrapText="1"/>
    </xf>
    <xf numFmtId="1" fontId="0" fillId="0" borderId="0" xfId="0" applyNumberFormat="1" applyFont="1" applyAlignment="1">
      <alignment horizontal="left" vertical="center" shrinkToFit="1"/>
    </xf>
    <xf numFmtId="2" fontId="27" fillId="0" borderId="0" xfId="0" applyNumberFormat="1" applyFont="1" applyAlignment="1">
      <alignment horizontal="left" vertical="center"/>
    </xf>
    <xf numFmtId="0" fontId="27" fillId="0" borderId="0" xfId="0" applyFont="1" applyAlignment="1">
      <alignment horizontal="left" vertical="center"/>
    </xf>
    <xf numFmtId="0" fontId="30" fillId="0" borderId="0" xfId="0" applyFont="1" applyBorder="1" applyAlignment="1">
      <alignment horizontal="center" vertical="center"/>
    </xf>
    <xf numFmtId="0" fontId="29" fillId="0" borderId="0" xfId="0" applyFont="1" applyBorder="1" applyAlignment="1">
      <alignment horizontal="left" vertical="center"/>
    </xf>
    <xf numFmtId="0" fontId="29" fillId="0" borderId="48" xfId="0" applyFont="1" applyBorder="1" applyAlignment="1">
      <alignment horizontal="left" vertical="center"/>
    </xf>
    <xf numFmtId="1" fontId="29" fillId="0" borderId="0" xfId="0" applyNumberFormat="1" applyFont="1" applyBorder="1" applyAlignment="1">
      <alignment horizontal="center" vertical="center"/>
    </xf>
    <xf numFmtId="0" fontId="29" fillId="0" borderId="0" xfId="0" applyFont="1" applyBorder="1" applyAlignment="1">
      <alignment horizontal="center" vertical="center"/>
    </xf>
    <xf numFmtId="0" fontId="28" fillId="0" borderId="0" xfId="0" applyFont="1" applyBorder="1" applyAlignment="1">
      <alignment horizontal="left" vertical="center"/>
    </xf>
    <xf numFmtId="0" fontId="28" fillId="0" borderId="0" xfId="0" applyFont="1" applyBorder="1" applyAlignment="1">
      <alignment horizontal="center" vertical="center" wrapText="1"/>
    </xf>
    <xf numFmtId="2" fontId="28" fillId="0" borderId="0" xfId="0" applyNumberFormat="1" applyFont="1" applyAlignment="1">
      <alignment horizontal="left" vertical="center"/>
    </xf>
    <xf numFmtId="0" fontId="28" fillId="0" borderId="0" xfId="0" applyFont="1" applyAlignment="1">
      <alignment horizontal="left" vertical="center"/>
    </xf>
    <xf numFmtId="0" fontId="0" fillId="0" borderId="0" xfId="0" applyFont="1" applyAlignment="1">
      <alignment horizontal="left" vertical="top" wrapText="1"/>
    </xf>
    <xf numFmtId="0" fontId="0" fillId="0" borderId="0" xfId="0" applyFont="1" applyAlignment="1">
      <alignment horizontal="left" vertical="center"/>
    </xf>
    <xf numFmtId="1" fontId="32" fillId="0" borderId="0" xfId="0" applyNumberFormat="1" applyFont="1" applyAlignment="1">
      <alignment horizontal="center" vertical="center"/>
    </xf>
    <xf numFmtId="2" fontId="32" fillId="0" borderId="0" xfId="0" applyNumberFormat="1" applyFont="1" applyAlignment="1">
      <alignment horizontal="left" vertical="center" shrinkToFit="1"/>
    </xf>
    <xf numFmtId="0" fontId="27" fillId="0" borderId="0" xfId="0" applyFont="1" applyAlignment="1">
      <alignment horizontal="left" vertical="center" wrapText="1"/>
    </xf>
    <xf numFmtId="0" fontId="33" fillId="0" borderId="0" xfId="0" applyFont="1" applyAlignment="1">
      <alignment horizontal="left" vertical="center"/>
    </xf>
    <xf numFmtId="2" fontId="31" fillId="0" borderId="0" xfId="0" applyNumberFormat="1" applyFont="1" applyAlignment="1">
      <alignment horizontal="left" vertical="center"/>
    </xf>
    <xf numFmtId="2" fontId="33" fillId="0" borderId="0" xfId="0" applyNumberFormat="1" applyFont="1" applyAlignment="1">
      <alignment horizontal="left" vertical="center"/>
    </xf>
    <xf numFmtId="0" fontId="34" fillId="0" borderId="0" xfId="0" applyFont="1" applyAlignment="1">
      <alignment horizontal="center" vertical="center" wrapText="1"/>
    </xf>
    <xf numFmtId="0" fontId="31" fillId="0" borderId="22" xfId="0" applyFont="1" applyBorder="1" applyAlignment="1">
      <alignment horizontal="left" vertical="center" shrinkToFit="1"/>
    </xf>
    <xf numFmtId="0" fontId="31" fillId="0" borderId="23" xfId="0" applyFont="1" applyBorder="1" applyAlignment="1">
      <alignment horizontal="left" vertical="center" shrinkToFit="1"/>
    </xf>
    <xf numFmtId="0" fontId="31" fillId="0" borderId="24" xfId="0" applyFont="1" applyBorder="1" applyAlignment="1">
      <alignment horizontal="left" vertical="center" shrinkToFit="1"/>
    </xf>
    <xf numFmtId="0" fontId="27" fillId="0" borderId="24" xfId="0" applyFont="1" applyBorder="1" applyAlignment="1">
      <alignment horizontal="center" vertical="center"/>
    </xf>
    <xf numFmtId="0" fontId="27" fillId="0" borderId="16" xfId="0" applyFont="1" applyBorder="1" applyAlignment="1">
      <alignment horizontal="center" vertical="center"/>
    </xf>
    <xf numFmtId="0" fontId="27" fillId="0" borderId="0" xfId="0" applyFont="1" applyAlignment="1">
      <alignment horizontal="left" vertical="center" shrinkToFit="1"/>
    </xf>
    <xf numFmtId="0" fontId="27" fillId="0" borderId="0" xfId="0" applyFont="1" applyAlignment="1">
      <alignment horizontal="center" vertical="top"/>
    </xf>
    <xf numFmtId="2" fontId="31" fillId="0" borderId="22" xfId="0" applyNumberFormat="1" applyFont="1" applyBorder="1" applyAlignment="1">
      <alignment horizontal="center" vertical="center" shrinkToFit="1"/>
    </xf>
    <xf numFmtId="0" fontId="31" fillId="0" borderId="23" xfId="0" applyFont="1" applyBorder="1" applyAlignment="1">
      <alignment horizontal="center" vertical="center" shrinkToFit="1"/>
    </xf>
    <xf numFmtId="0" fontId="31" fillId="0" borderId="24" xfId="0" applyFont="1" applyBorder="1" applyAlignment="1">
      <alignment horizontal="center" vertical="center" shrinkToFit="1"/>
    </xf>
    <xf numFmtId="1" fontId="31" fillId="0" borderId="22" xfId="0" applyNumberFormat="1" applyFont="1" applyBorder="1" applyAlignment="1">
      <alignment horizontal="left" vertical="center"/>
    </xf>
    <xf numFmtId="1" fontId="31" fillId="0" borderId="23" xfId="0" applyNumberFormat="1" applyFont="1" applyBorder="1" applyAlignment="1">
      <alignment horizontal="left" vertical="center"/>
    </xf>
    <xf numFmtId="1" fontId="31" fillId="0" borderId="24" xfId="0" applyNumberFormat="1" applyFont="1" applyBorder="1" applyAlignment="1">
      <alignment horizontal="left" vertical="center"/>
    </xf>
    <xf numFmtId="1" fontId="33" fillId="0" borderId="22" xfId="0" applyNumberFormat="1" applyFont="1" applyBorder="1" applyAlignment="1">
      <alignment horizontal="left" vertical="center" wrapText="1"/>
    </xf>
    <xf numFmtId="0" fontId="0" fillId="0" borderId="23" xfId="0" applyFont="1" applyBorder="1" applyAlignment="1">
      <alignment/>
    </xf>
    <xf numFmtId="0" fontId="0" fillId="0" borderId="24" xfId="0" applyFont="1" applyBorder="1" applyAlignment="1">
      <alignment/>
    </xf>
    <xf numFmtId="0" fontId="31" fillId="0" borderId="22" xfId="0" applyFont="1" applyBorder="1" applyAlignment="1">
      <alignment horizontal="left" vertical="center"/>
    </xf>
    <xf numFmtId="0" fontId="31" fillId="0" borderId="23" xfId="0" applyFont="1" applyBorder="1" applyAlignment="1">
      <alignment horizontal="left" vertical="center"/>
    </xf>
    <xf numFmtId="0" fontId="31" fillId="0" borderId="24" xfId="0" applyFont="1" applyBorder="1" applyAlignment="1">
      <alignment horizontal="left" vertical="center"/>
    </xf>
    <xf numFmtId="0" fontId="3" fillId="0" borderId="25" xfId="0" applyFont="1" applyBorder="1" applyAlignment="1">
      <alignment horizontal="left" vertical="center"/>
    </xf>
    <xf numFmtId="0" fontId="3" fillId="0" borderId="0" xfId="0" applyFont="1" applyAlignment="1">
      <alignment horizontal="left" vertical="center" wrapText="1"/>
    </xf>
    <xf numFmtId="0" fontId="25"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left" vertical="center"/>
      <protection hidden="1"/>
    </xf>
    <xf numFmtId="0" fontId="24"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protection hidden="1"/>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wrapText="1"/>
    </xf>
    <xf numFmtId="0" fontId="26" fillId="0" borderId="0" xfId="0" applyFont="1" applyFill="1" applyBorder="1" applyAlignment="1" applyProtection="1">
      <alignment horizontal="left" vertical="center"/>
      <protection hidden="1"/>
    </xf>
    <xf numFmtId="0" fontId="26" fillId="0" borderId="0" xfId="0" applyFont="1" applyFill="1" applyBorder="1" applyAlignment="1" applyProtection="1">
      <alignment horizontal="center" vertic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16</xdr:row>
      <xdr:rowOff>47625</xdr:rowOff>
    </xdr:from>
    <xdr:to>
      <xdr:col>15</xdr:col>
      <xdr:colOff>933450</xdr:colOff>
      <xdr:row>17</xdr:row>
      <xdr:rowOff>333375</xdr:rowOff>
    </xdr:to>
    <xdr:grpSp>
      <xdr:nvGrpSpPr>
        <xdr:cNvPr id="1" name="Group 160"/>
        <xdr:cNvGrpSpPr>
          <a:grpSpLocks/>
        </xdr:cNvGrpSpPr>
      </xdr:nvGrpSpPr>
      <xdr:grpSpPr>
        <a:xfrm>
          <a:off x="6229350" y="3009900"/>
          <a:ext cx="2314575" cy="342900"/>
          <a:chOff x="661" y="459"/>
          <a:chExt cx="245" cy="32"/>
        </a:xfrm>
        <a:solidFill>
          <a:srgbClr val="FFFFFF"/>
        </a:solidFill>
      </xdr:grpSpPr>
    </xdr:grpSp>
    <xdr:clientData/>
  </xdr:twoCellAnchor>
  <xdr:twoCellAnchor>
    <xdr:from>
      <xdr:col>3</xdr:col>
      <xdr:colOff>333375</xdr:colOff>
      <xdr:row>26</xdr:row>
      <xdr:rowOff>0</xdr:rowOff>
    </xdr:from>
    <xdr:to>
      <xdr:col>7</xdr:col>
      <xdr:colOff>552450</xdr:colOff>
      <xdr:row>26</xdr:row>
      <xdr:rowOff>304800</xdr:rowOff>
    </xdr:to>
    <xdr:grpSp>
      <xdr:nvGrpSpPr>
        <xdr:cNvPr id="5" name="Group 324"/>
        <xdr:cNvGrpSpPr>
          <a:grpSpLocks/>
        </xdr:cNvGrpSpPr>
      </xdr:nvGrpSpPr>
      <xdr:grpSpPr>
        <a:xfrm>
          <a:off x="1885950" y="5162550"/>
          <a:ext cx="1704975" cy="304800"/>
          <a:chOff x="198" y="681"/>
          <a:chExt cx="176" cy="32"/>
        </a:xfrm>
        <a:solidFill>
          <a:srgbClr val="FFFFFF"/>
        </a:solidFill>
      </xdr:grpSpPr>
    </xdr:grpSp>
    <xdr:clientData/>
  </xdr:twoCellAnchor>
  <xdr:twoCellAnchor>
    <xdr:from>
      <xdr:col>3</xdr:col>
      <xdr:colOff>333375</xdr:colOff>
      <xdr:row>27</xdr:row>
      <xdr:rowOff>0</xdr:rowOff>
    </xdr:from>
    <xdr:to>
      <xdr:col>7</xdr:col>
      <xdr:colOff>552450</xdr:colOff>
      <xdr:row>27</xdr:row>
      <xdr:rowOff>304800</xdr:rowOff>
    </xdr:to>
    <xdr:grpSp>
      <xdr:nvGrpSpPr>
        <xdr:cNvPr id="9" name="Group 352"/>
        <xdr:cNvGrpSpPr>
          <a:grpSpLocks/>
        </xdr:cNvGrpSpPr>
      </xdr:nvGrpSpPr>
      <xdr:grpSpPr>
        <a:xfrm>
          <a:off x="1885950" y="5476875"/>
          <a:ext cx="1704975" cy="304800"/>
          <a:chOff x="195" y="665"/>
          <a:chExt cx="176" cy="32"/>
        </a:xfrm>
        <a:solidFill>
          <a:srgbClr val="FFFFFF"/>
        </a:solidFill>
      </xdr:grpSpPr>
    </xdr:grpSp>
    <xdr:clientData/>
  </xdr:twoCellAnchor>
  <xdr:twoCellAnchor>
    <xdr:from>
      <xdr:col>3</xdr:col>
      <xdr:colOff>333375</xdr:colOff>
      <xdr:row>28</xdr:row>
      <xdr:rowOff>9525</xdr:rowOff>
    </xdr:from>
    <xdr:to>
      <xdr:col>7</xdr:col>
      <xdr:colOff>552450</xdr:colOff>
      <xdr:row>29</xdr:row>
      <xdr:rowOff>0</xdr:rowOff>
    </xdr:to>
    <xdr:grpSp>
      <xdr:nvGrpSpPr>
        <xdr:cNvPr id="13" name="Group 351"/>
        <xdr:cNvGrpSpPr>
          <a:grpSpLocks/>
        </xdr:cNvGrpSpPr>
      </xdr:nvGrpSpPr>
      <xdr:grpSpPr>
        <a:xfrm>
          <a:off x="1885950" y="5800725"/>
          <a:ext cx="1704975" cy="304800"/>
          <a:chOff x="194" y="698"/>
          <a:chExt cx="176" cy="32"/>
        </a:xfrm>
        <a:solidFill>
          <a:srgbClr val="FFFFFF"/>
        </a:solidFill>
      </xdr:grpSpPr>
    </xdr:grpSp>
    <xdr:clientData/>
  </xdr:twoCellAnchor>
  <xdr:twoCellAnchor>
    <xdr:from>
      <xdr:col>3</xdr:col>
      <xdr:colOff>333375</xdr:colOff>
      <xdr:row>29</xdr:row>
      <xdr:rowOff>0</xdr:rowOff>
    </xdr:from>
    <xdr:to>
      <xdr:col>7</xdr:col>
      <xdr:colOff>552450</xdr:colOff>
      <xdr:row>29</xdr:row>
      <xdr:rowOff>304800</xdr:rowOff>
    </xdr:to>
    <xdr:grpSp>
      <xdr:nvGrpSpPr>
        <xdr:cNvPr id="17" name="Group 364"/>
        <xdr:cNvGrpSpPr>
          <a:grpSpLocks/>
        </xdr:cNvGrpSpPr>
      </xdr:nvGrpSpPr>
      <xdr:grpSpPr>
        <a:xfrm>
          <a:off x="1885950" y="6105525"/>
          <a:ext cx="1704975" cy="304800"/>
          <a:chOff x="193" y="731"/>
          <a:chExt cx="176" cy="32"/>
        </a:xfrm>
        <a:solidFill>
          <a:srgbClr val="FFFFFF"/>
        </a:solidFill>
      </xdr:grpSpPr>
    </xdr:grpSp>
    <xdr:clientData/>
  </xdr:twoCellAnchor>
  <xdr:twoCellAnchor>
    <xdr:from>
      <xdr:col>3</xdr:col>
      <xdr:colOff>333375</xdr:colOff>
      <xdr:row>30</xdr:row>
      <xdr:rowOff>0</xdr:rowOff>
    </xdr:from>
    <xdr:to>
      <xdr:col>7</xdr:col>
      <xdr:colOff>552450</xdr:colOff>
      <xdr:row>30</xdr:row>
      <xdr:rowOff>304800</xdr:rowOff>
    </xdr:to>
    <xdr:grpSp>
      <xdr:nvGrpSpPr>
        <xdr:cNvPr id="21" name="Group 369"/>
        <xdr:cNvGrpSpPr>
          <a:grpSpLocks/>
        </xdr:cNvGrpSpPr>
      </xdr:nvGrpSpPr>
      <xdr:grpSpPr>
        <a:xfrm>
          <a:off x="1885950" y="6419850"/>
          <a:ext cx="1704975" cy="304800"/>
          <a:chOff x="193" y="764"/>
          <a:chExt cx="176" cy="32"/>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tunzb.org/" TargetMode="Externa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E160"/>
  <sheetViews>
    <sheetView zoomScale="85" zoomScaleNormal="85" zoomScalePageLayoutView="0" workbookViewId="0" topLeftCell="A1">
      <selection activeCell="F22" sqref="F22"/>
    </sheetView>
  </sheetViews>
  <sheetFormatPr defaultColWidth="9.33203125" defaultRowHeight="12.75"/>
  <cols>
    <col min="1" max="2" width="9.33203125" style="33" customWidth="1"/>
    <col min="3" max="3" width="9.5" style="33" bestFit="1" customWidth="1"/>
    <col min="4" max="4" width="9.33203125" style="33" customWidth="1"/>
    <col min="5" max="5" width="9.5" style="33" bestFit="1" customWidth="1"/>
    <col min="6" max="6" width="19.83203125" style="33" customWidth="1"/>
    <col min="7" max="7" width="12.16015625" style="33" customWidth="1"/>
    <col min="8" max="8" width="14" style="33" customWidth="1"/>
    <col min="9" max="16384" width="9.33203125" style="33" customWidth="1"/>
  </cols>
  <sheetData>
    <row r="1" spans="1:18" ht="33.75" customHeight="1">
      <c r="A1" s="448" t="s">
        <v>202</v>
      </c>
      <c r="B1" s="448"/>
      <c r="C1" s="448"/>
      <c r="D1" s="448"/>
      <c r="E1" s="448"/>
      <c r="F1" s="448"/>
      <c r="G1" s="448"/>
      <c r="H1" s="448"/>
      <c r="I1" s="448"/>
      <c r="J1" s="448"/>
      <c r="K1" s="448"/>
      <c r="L1" s="448"/>
      <c r="M1" s="448"/>
      <c r="N1" s="448"/>
      <c r="O1" s="448"/>
      <c r="P1" s="448"/>
      <c r="Q1" s="448"/>
      <c r="R1" s="448"/>
    </row>
    <row r="2" s="41" customFormat="1" ht="12.75"/>
    <row r="3" spans="1:2" s="38" customFormat="1" ht="15.75" customHeight="1">
      <c r="A3" s="36">
        <v>1</v>
      </c>
      <c r="B3" s="37" t="s">
        <v>203</v>
      </c>
    </row>
    <row r="4" spans="1:2" s="38" customFormat="1" ht="15.75" customHeight="1" thickBot="1">
      <c r="A4" s="36"/>
      <c r="B4" s="37" t="s">
        <v>204</v>
      </c>
    </row>
    <row r="5" spans="1:31" s="38" customFormat="1" ht="20.25" customHeight="1">
      <c r="A5" s="404">
        <v>2</v>
      </c>
      <c r="B5" s="405" t="s">
        <v>561</v>
      </c>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6"/>
    </row>
    <row r="6" spans="1:31" s="38" customFormat="1" ht="15.75" customHeight="1">
      <c r="A6" s="407"/>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9"/>
    </row>
    <row r="7" spans="1:31" s="38" customFormat="1" ht="15.75" customHeight="1">
      <c r="A7" s="407"/>
      <c r="B7" s="408" t="s">
        <v>562</v>
      </c>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9"/>
    </row>
    <row r="8" spans="1:31" s="311" customFormat="1" ht="15.75" customHeight="1">
      <c r="A8" s="410"/>
      <c r="B8" s="411">
        <v>1</v>
      </c>
      <c r="C8" s="411"/>
      <c r="D8" s="411"/>
      <c r="E8" s="411"/>
      <c r="F8" s="411">
        <v>2</v>
      </c>
      <c r="G8" s="411"/>
      <c r="H8" s="411">
        <v>3</v>
      </c>
      <c r="I8" s="411"/>
      <c r="J8" s="411"/>
      <c r="K8" s="411"/>
      <c r="L8" s="411"/>
      <c r="M8" s="411">
        <v>5</v>
      </c>
      <c r="N8" s="411"/>
      <c r="O8" s="411"/>
      <c r="P8" s="411"/>
      <c r="Q8" s="411"/>
      <c r="R8" s="411"/>
      <c r="S8" s="411"/>
      <c r="T8" s="411"/>
      <c r="U8" s="411">
        <v>6</v>
      </c>
      <c r="V8" s="411"/>
      <c r="W8" s="411"/>
      <c r="X8" s="411"/>
      <c r="Y8" s="411"/>
      <c r="Z8" s="411" t="s">
        <v>569</v>
      </c>
      <c r="AA8" s="411"/>
      <c r="AB8" s="411"/>
      <c r="AC8" s="411"/>
      <c r="AD8" s="411"/>
      <c r="AE8" s="412"/>
    </row>
    <row r="9" spans="1:31" s="36" customFormat="1" ht="15.75" customHeight="1">
      <c r="A9" s="407"/>
      <c r="B9" s="413" t="s">
        <v>563</v>
      </c>
      <c r="C9" s="413"/>
      <c r="D9" s="413"/>
      <c r="E9" s="413" t="s">
        <v>564</v>
      </c>
      <c r="F9" s="413" t="s">
        <v>565</v>
      </c>
      <c r="G9" s="413" t="s">
        <v>564</v>
      </c>
      <c r="H9" s="414" t="s">
        <v>566</v>
      </c>
      <c r="I9" s="413"/>
      <c r="J9" s="413"/>
      <c r="K9" s="413" t="s">
        <v>564</v>
      </c>
      <c r="L9" s="414" t="s">
        <v>567</v>
      </c>
      <c r="M9" s="413"/>
      <c r="N9" s="413"/>
      <c r="O9" s="413"/>
      <c r="P9" s="413"/>
      <c r="Q9" s="413"/>
      <c r="R9" s="413"/>
      <c r="S9" s="413"/>
      <c r="T9" s="413" t="s">
        <v>564</v>
      </c>
      <c r="U9" s="414" t="s">
        <v>568</v>
      </c>
      <c r="V9" s="413"/>
      <c r="W9" s="413"/>
      <c r="X9" s="413"/>
      <c r="Y9" s="413" t="s">
        <v>564</v>
      </c>
      <c r="Z9" s="414" t="s">
        <v>570</v>
      </c>
      <c r="AA9" s="413"/>
      <c r="AB9" s="413"/>
      <c r="AC9" s="413"/>
      <c r="AD9" s="413"/>
      <c r="AE9" s="415"/>
    </row>
    <row r="10" spans="1:31" s="38" customFormat="1" ht="15.75" customHeight="1">
      <c r="A10" s="407"/>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9"/>
    </row>
    <row r="11" spans="1:31" s="38" customFormat="1" ht="15.75" customHeight="1">
      <c r="A11" s="407"/>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9"/>
    </row>
    <row r="12" spans="1:31" s="38" customFormat="1" ht="15.75" customHeight="1">
      <c r="A12" s="407"/>
      <c r="B12" s="408" t="s">
        <v>580</v>
      </c>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9"/>
    </row>
    <row r="13" spans="1:31" s="38" customFormat="1" ht="15.75" customHeight="1" thickBot="1">
      <c r="A13" s="416"/>
      <c r="B13" s="417"/>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8"/>
    </row>
    <row r="14" s="38" customFormat="1" ht="15.75" customHeight="1">
      <c r="A14" s="36"/>
    </row>
    <row r="15" spans="1:2" s="38" customFormat="1" ht="15.75" customHeight="1">
      <c r="A15" s="36">
        <v>3</v>
      </c>
      <c r="B15" s="38" t="s">
        <v>205</v>
      </c>
    </row>
    <row r="16" spans="1:12" s="38" customFormat="1" ht="15.75" customHeight="1">
      <c r="A16" s="36"/>
      <c r="C16" s="38" t="s">
        <v>206</v>
      </c>
      <c r="F16" s="38" t="s">
        <v>207</v>
      </c>
      <c r="I16" s="38" t="s">
        <v>207</v>
      </c>
      <c r="L16" s="38" t="s">
        <v>208</v>
      </c>
    </row>
    <row r="17" s="38" customFormat="1" ht="15.75" customHeight="1">
      <c r="A17" s="36"/>
    </row>
    <row r="18" spans="1:2" s="38" customFormat="1" ht="15.75" customHeight="1">
      <c r="A18" s="36">
        <v>4</v>
      </c>
      <c r="B18" s="38" t="s">
        <v>209</v>
      </c>
    </row>
    <row r="19" spans="1:5" s="38" customFormat="1" ht="15.75" customHeight="1" thickBot="1">
      <c r="A19" s="36"/>
      <c r="C19" s="38" t="s">
        <v>210</v>
      </c>
      <c r="D19" s="38" t="s">
        <v>211</v>
      </c>
      <c r="E19" s="38" t="s">
        <v>212</v>
      </c>
    </row>
    <row r="20" spans="1:5" s="38" customFormat="1" ht="15.75" customHeight="1" thickBot="1">
      <c r="A20" s="36"/>
      <c r="C20" s="39">
        <v>1</v>
      </c>
      <c r="D20" s="39">
        <v>6</v>
      </c>
      <c r="E20" s="39">
        <v>1995</v>
      </c>
    </row>
    <row r="21" s="38" customFormat="1" ht="15.75" customHeight="1">
      <c r="A21" s="36"/>
    </row>
    <row r="22" spans="1:16" s="38" customFormat="1" ht="24.75" customHeight="1">
      <c r="A22" s="36">
        <v>5</v>
      </c>
      <c r="B22" s="38" t="s">
        <v>213</v>
      </c>
      <c r="C22" s="126"/>
      <c r="D22" s="126"/>
      <c r="E22" s="126"/>
      <c r="F22" s="126"/>
      <c r="G22" s="126"/>
      <c r="H22" s="126"/>
      <c r="I22" s="126"/>
      <c r="J22" s="126"/>
      <c r="K22" s="126"/>
      <c r="L22" s="126"/>
      <c r="M22" s="126"/>
      <c r="N22" s="126"/>
      <c r="O22" s="42"/>
      <c r="P22" s="42"/>
    </row>
    <row r="23" spans="1:16" s="38" customFormat="1" ht="15.75" customHeight="1">
      <c r="A23" s="36"/>
      <c r="B23" s="126"/>
      <c r="C23" s="126"/>
      <c r="D23" s="126"/>
      <c r="E23" s="126"/>
      <c r="F23" s="126"/>
      <c r="G23" s="126"/>
      <c r="H23" s="126"/>
      <c r="I23" s="126"/>
      <c r="J23" s="126"/>
      <c r="K23" s="126"/>
      <c r="L23" s="126"/>
      <c r="M23" s="126"/>
      <c r="N23" s="126"/>
      <c r="O23" s="42"/>
      <c r="P23" s="42"/>
    </row>
    <row r="24" spans="1:16" s="38" customFormat="1" ht="15" customHeight="1">
      <c r="A24" s="36"/>
      <c r="B24" s="126"/>
      <c r="C24" s="126"/>
      <c r="D24" s="126"/>
      <c r="E24" s="126"/>
      <c r="F24" s="126"/>
      <c r="G24" s="126"/>
      <c r="H24" s="126"/>
      <c r="I24" s="126"/>
      <c r="J24" s="126"/>
      <c r="K24" s="126"/>
      <c r="L24" s="126"/>
      <c r="M24" s="126"/>
      <c r="N24" s="126"/>
      <c r="O24" s="42"/>
      <c r="P24" s="42"/>
    </row>
    <row r="25" s="38" customFormat="1" ht="18" customHeight="1">
      <c r="A25" s="36">
        <v>6</v>
      </c>
    </row>
    <row r="26" s="38" customFormat="1" ht="15.75" customHeight="1">
      <c r="A26" s="36"/>
    </row>
    <row r="27" s="38" customFormat="1" ht="15.75" customHeight="1">
      <c r="A27" s="36"/>
    </row>
    <row r="28" s="38" customFormat="1" ht="15.75" customHeight="1">
      <c r="A28" s="36"/>
    </row>
    <row r="29" s="38" customFormat="1" ht="15.75" customHeight="1">
      <c r="A29" s="36"/>
    </row>
    <row r="30" s="38" customFormat="1" ht="15.75" customHeight="1">
      <c r="A30" s="36"/>
    </row>
    <row r="31" s="38" customFormat="1" ht="15.75" customHeight="1">
      <c r="A31" s="36"/>
    </row>
    <row r="32" s="38" customFormat="1" ht="15.75" customHeight="1">
      <c r="A32" s="36"/>
    </row>
    <row r="33" s="38" customFormat="1" ht="15.75" customHeight="1">
      <c r="A33" s="36"/>
    </row>
    <row r="34" s="38" customFormat="1" ht="15.75" customHeight="1">
      <c r="A34" s="36"/>
    </row>
    <row r="35" s="38" customFormat="1" ht="15.75" customHeight="1">
      <c r="A35" s="36"/>
    </row>
    <row r="36" s="38" customFormat="1" ht="15.75" customHeight="1">
      <c r="A36" s="36"/>
    </row>
    <row r="37" s="38" customFormat="1" ht="15.75" customHeight="1">
      <c r="A37" s="36"/>
    </row>
    <row r="38" s="38" customFormat="1" ht="15.75" customHeight="1">
      <c r="A38" s="36"/>
    </row>
    <row r="39" s="38" customFormat="1" ht="15.75" customHeight="1">
      <c r="A39" s="36"/>
    </row>
    <row r="40" s="38" customFormat="1" ht="15.75" customHeight="1">
      <c r="A40" s="36"/>
    </row>
    <row r="41" s="38" customFormat="1" ht="15.75" customHeight="1">
      <c r="A41" s="36"/>
    </row>
    <row r="42" s="38" customFormat="1" ht="15.75" customHeight="1">
      <c r="A42" s="36"/>
    </row>
    <row r="43" s="38" customFormat="1" ht="15.75" customHeight="1">
      <c r="A43" s="36"/>
    </row>
    <row r="44" s="38" customFormat="1" ht="15.75" customHeight="1">
      <c r="A44" s="36"/>
    </row>
    <row r="45" s="38" customFormat="1" ht="15.75" customHeight="1">
      <c r="A45" s="36"/>
    </row>
    <row r="46" s="38" customFormat="1" ht="15.75" customHeight="1">
      <c r="A46" s="36"/>
    </row>
    <row r="47" s="38" customFormat="1" ht="15.75" customHeight="1">
      <c r="A47" s="36"/>
    </row>
    <row r="48" s="38" customFormat="1" ht="15.75" customHeight="1">
      <c r="A48" s="36"/>
    </row>
    <row r="49" s="38" customFormat="1" ht="15.75" customHeight="1">
      <c r="A49" s="36"/>
    </row>
    <row r="50" s="38" customFormat="1" ht="15.75" customHeight="1">
      <c r="A50" s="36"/>
    </row>
    <row r="51" s="38" customFormat="1" ht="15.75" customHeight="1">
      <c r="A51" s="36"/>
    </row>
    <row r="52" s="38" customFormat="1" ht="15.75" customHeight="1">
      <c r="A52" s="36"/>
    </row>
    <row r="53" s="38" customFormat="1" ht="15.75" customHeight="1">
      <c r="A53" s="36"/>
    </row>
    <row r="54" s="38" customFormat="1" ht="15.75" customHeight="1">
      <c r="A54" s="36"/>
    </row>
    <row r="55" s="38" customFormat="1" ht="15.75" customHeight="1">
      <c r="A55" s="36"/>
    </row>
    <row r="56" s="38" customFormat="1" ht="15.75" customHeight="1">
      <c r="A56" s="36"/>
    </row>
    <row r="57" s="38" customFormat="1" ht="15.75" customHeight="1">
      <c r="A57" s="36"/>
    </row>
    <row r="58" s="38" customFormat="1" ht="15.75" customHeight="1">
      <c r="A58" s="36"/>
    </row>
    <row r="59" s="38" customFormat="1" ht="15.75" customHeight="1">
      <c r="A59" s="36"/>
    </row>
    <row r="60" s="38" customFormat="1" ht="15.75" customHeight="1">
      <c r="A60" s="36"/>
    </row>
    <row r="61" s="41" customFormat="1" ht="12.75">
      <c r="A61" s="40"/>
    </row>
    <row r="62" s="41" customFormat="1" ht="12.75">
      <c r="A62" s="40"/>
    </row>
    <row r="63" s="41" customFormat="1" ht="12.75">
      <c r="A63" s="40"/>
    </row>
    <row r="64" s="41" customFormat="1" ht="12.75">
      <c r="A64" s="40"/>
    </row>
    <row r="65" s="41" customFormat="1" ht="12.75">
      <c r="A65" s="40"/>
    </row>
    <row r="66" s="41" customFormat="1" ht="12.75">
      <c r="A66" s="40"/>
    </row>
    <row r="67" s="41" customFormat="1" ht="12.75">
      <c r="A67" s="40"/>
    </row>
    <row r="68" s="41" customFormat="1" ht="12.75">
      <c r="A68" s="40"/>
    </row>
    <row r="69" s="41" customFormat="1" ht="12.75">
      <c r="A69" s="40"/>
    </row>
    <row r="70" s="41" customFormat="1" ht="12.75">
      <c r="A70" s="40"/>
    </row>
    <row r="71" s="41" customFormat="1" ht="12.75">
      <c r="A71" s="40"/>
    </row>
    <row r="72" s="41" customFormat="1" ht="12.75">
      <c r="A72" s="40"/>
    </row>
    <row r="73" s="41" customFormat="1" ht="12.75">
      <c r="A73" s="40"/>
    </row>
    <row r="74" s="41" customFormat="1" ht="12.75">
      <c r="A74" s="40"/>
    </row>
    <row r="75" s="41" customFormat="1" ht="12.75">
      <c r="A75" s="40"/>
    </row>
    <row r="76" s="41" customFormat="1" ht="12.75">
      <c r="A76" s="40"/>
    </row>
    <row r="77" s="41" customFormat="1" ht="12.75">
      <c r="A77" s="40"/>
    </row>
    <row r="78" s="41" customFormat="1" ht="12.75">
      <c r="A78" s="40"/>
    </row>
    <row r="79" s="41" customFormat="1" ht="12.75">
      <c r="A79" s="40"/>
    </row>
    <row r="80" s="41" customFormat="1" ht="12.75">
      <c r="A80" s="40"/>
    </row>
    <row r="81" s="41" customFormat="1" ht="12.75">
      <c r="A81" s="40"/>
    </row>
    <row r="82" s="41" customFormat="1" ht="12.75">
      <c r="A82" s="40"/>
    </row>
    <row r="83" s="41" customFormat="1" ht="12.75">
      <c r="A83" s="40"/>
    </row>
    <row r="84" s="41" customFormat="1" ht="12.75">
      <c r="A84" s="40"/>
    </row>
    <row r="85" s="41" customFormat="1" ht="12.75">
      <c r="A85" s="40"/>
    </row>
    <row r="86" s="41" customFormat="1" ht="12.75">
      <c r="A86" s="40"/>
    </row>
    <row r="87" s="41" customFormat="1" ht="12.75">
      <c r="A87" s="40"/>
    </row>
    <row r="88" s="41" customFormat="1" ht="12.75">
      <c r="A88" s="40"/>
    </row>
    <row r="89" s="41" customFormat="1" ht="12.75">
      <c r="A89" s="40"/>
    </row>
    <row r="90" s="41" customFormat="1" ht="12.75">
      <c r="A90" s="40"/>
    </row>
    <row r="91" s="41" customFormat="1" ht="12.75">
      <c r="A91" s="40"/>
    </row>
    <row r="92" s="41" customFormat="1" ht="12.75">
      <c r="A92" s="40"/>
    </row>
    <row r="93" s="41" customFormat="1" ht="12.75">
      <c r="A93" s="40"/>
    </row>
    <row r="94" s="41" customFormat="1" ht="12.75">
      <c r="A94" s="40"/>
    </row>
    <row r="95" s="41" customFormat="1" ht="12.75">
      <c r="A95" s="40"/>
    </row>
    <row r="96" s="41" customFormat="1" ht="12.75">
      <c r="A96" s="40"/>
    </row>
    <row r="97" s="41" customFormat="1" ht="12.75">
      <c r="A97" s="40"/>
    </row>
    <row r="98" s="41" customFormat="1" ht="12.75">
      <c r="A98" s="40"/>
    </row>
    <row r="99" s="41" customFormat="1" ht="12.75">
      <c r="A99" s="40"/>
    </row>
    <row r="100" s="41" customFormat="1" ht="12.75">
      <c r="A100" s="40"/>
    </row>
    <row r="101" s="41" customFormat="1" ht="12.75">
      <c r="A101" s="40"/>
    </row>
    <row r="102" s="41" customFormat="1" ht="12.75">
      <c r="A102" s="40"/>
    </row>
    <row r="103" s="41" customFormat="1" ht="12.75">
      <c r="A103" s="40"/>
    </row>
    <row r="104" s="41" customFormat="1" ht="12.75">
      <c r="A104" s="40"/>
    </row>
    <row r="105" s="41" customFormat="1" ht="12.75">
      <c r="A105" s="40"/>
    </row>
    <row r="106" s="41" customFormat="1" ht="12.75">
      <c r="A106" s="40"/>
    </row>
    <row r="107" s="41" customFormat="1" ht="12.75">
      <c r="A107" s="40"/>
    </row>
    <row r="108" s="41" customFormat="1" ht="12.75">
      <c r="A108" s="40"/>
    </row>
    <row r="109" s="41" customFormat="1" ht="12.75">
      <c r="A109" s="40"/>
    </row>
    <row r="110" s="41" customFormat="1" ht="12.75">
      <c r="A110" s="40"/>
    </row>
    <row r="111" s="41" customFormat="1" ht="12.75">
      <c r="A111" s="40"/>
    </row>
    <row r="112" s="41" customFormat="1" ht="12.75">
      <c r="A112" s="40"/>
    </row>
    <row r="113" s="41" customFormat="1" ht="12.75">
      <c r="A113" s="40"/>
    </row>
    <row r="114" s="41" customFormat="1" ht="12.75">
      <c r="A114" s="40"/>
    </row>
    <row r="115" s="41" customFormat="1" ht="12.75">
      <c r="A115" s="40"/>
    </row>
    <row r="116" s="41" customFormat="1" ht="12.75">
      <c r="A116" s="40"/>
    </row>
    <row r="117" s="41" customFormat="1" ht="12.75">
      <c r="A117" s="40"/>
    </row>
    <row r="118" s="41" customFormat="1" ht="12.75"/>
    <row r="119" s="41" customFormat="1" ht="12.75"/>
    <row r="120" s="41" customFormat="1" ht="12.75"/>
    <row r="121" s="41" customFormat="1" ht="12.75"/>
    <row r="122" s="41" customFormat="1" ht="12.75"/>
    <row r="123" s="41" customFormat="1" ht="12.75"/>
    <row r="124" s="41" customFormat="1" ht="12.75"/>
    <row r="125" s="41" customFormat="1" ht="12.75"/>
    <row r="126" s="41" customFormat="1" ht="12.75"/>
    <row r="127" s="41" customFormat="1" ht="12.75"/>
    <row r="128" s="41" customFormat="1" ht="12.75"/>
    <row r="129" s="41" customFormat="1" ht="12.75"/>
    <row r="130" s="41" customFormat="1" ht="12.75"/>
    <row r="131" s="41" customFormat="1" ht="12.75"/>
    <row r="132" s="41" customFormat="1" ht="12.75"/>
    <row r="133" s="41" customFormat="1" ht="12.75"/>
    <row r="134" s="41" customFormat="1" ht="12.75"/>
    <row r="135" s="41" customFormat="1" ht="12.75"/>
    <row r="136" s="41" customFormat="1" ht="12.75"/>
    <row r="137" s="41" customFormat="1" ht="12.75"/>
    <row r="138" s="41" customFormat="1" ht="12.75"/>
    <row r="139" s="41" customFormat="1" ht="12.75"/>
    <row r="140" s="41" customFormat="1" ht="12.75"/>
    <row r="141" s="41" customFormat="1" ht="12.75"/>
    <row r="142" s="41" customFormat="1" ht="12.75"/>
    <row r="143" s="41" customFormat="1" ht="12.75"/>
    <row r="144" s="41" customFormat="1" ht="12.75"/>
    <row r="145" s="41" customFormat="1" ht="12.75"/>
    <row r="146" s="41" customFormat="1" ht="12.75"/>
    <row r="147" s="41" customFormat="1" ht="12.75"/>
    <row r="148" s="41" customFormat="1" ht="12.75"/>
    <row r="149" s="41" customFormat="1" ht="12.75"/>
    <row r="150" s="41" customFormat="1" ht="12.75"/>
    <row r="151" s="41" customFormat="1" ht="12.75"/>
    <row r="152" s="41" customFormat="1" ht="12.75"/>
    <row r="153" s="41" customFormat="1" ht="12.75"/>
    <row r="154" s="41" customFormat="1" ht="12.75"/>
    <row r="155" s="41" customFormat="1" ht="12.75"/>
    <row r="156" s="41" customFormat="1" ht="12.75"/>
    <row r="157" s="41" customFormat="1" ht="12.75"/>
    <row r="158" spans="4:7" s="41" customFormat="1" ht="12.75">
      <c r="D158" s="41" t="s">
        <v>27</v>
      </c>
      <c r="F158" s="41" t="s">
        <v>227</v>
      </c>
      <c r="G158" s="41" t="s">
        <v>42</v>
      </c>
    </row>
    <row r="159" s="41" customFormat="1" ht="12.75"/>
    <row r="160" spans="2:7" s="41" customFormat="1" ht="12.75">
      <c r="B160" s="41">
        <v>1</v>
      </c>
      <c r="F160" s="41">
        <v>1</v>
      </c>
      <c r="G160" s="41">
        <v>1</v>
      </c>
    </row>
    <row r="161" s="41" customFormat="1" ht="12.75"/>
    <row r="162" s="41" customFormat="1" ht="12.75"/>
    <row r="163" s="41" customFormat="1" ht="12.75"/>
    <row r="164" s="41" customFormat="1" ht="12.75"/>
    <row r="165" s="41" customFormat="1" ht="12.75"/>
    <row r="166" s="41" customFormat="1" ht="12.75"/>
    <row r="167" s="41" customFormat="1" ht="12.75"/>
    <row r="168" s="41" customFormat="1" ht="12.75"/>
    <row r="169" s="41" customFormat="1" ht="12.75"/>
    <row r="170" s="41" customFormat="1" ht="12.75"/>
    <row r="171" s="41" customFormat="1" ht="12.75"/>
    <row r="172" s="41" customFormat="1" ht="12.75"/>
    <row r="173" s="35" customFormat="1" ht="12.75"/>
    <row r="174" s="35" customFormat="1" ht="12.75"/>
    <row r="175" s="35" customFormat="1" ht="12.75"/>
    <row r="176" s="35" customFormat="1" ht="12.75"/>
    <row r="177" s="35" customFormat="1" ht="12.75"/>
    <row r="178" s="35" customFormat="1" ht="12.75"/>
    <row r="179" s="35" customFormat="1" ht="12.75"/>
    <row r="180" s="35" customFormat="1" ht="12.75"/>
    <row r="181" s="35" customFormat="1" ht="12.75"/>
    <row r="182" s="35" customFormat="1" ht="12.75"/>
    <row r="183" s="35" customFormat="1" ht="12.75"/>
    <row r="184" s="35" customFormat="1" ht="12.75"/>
    <row r="185" s="35" customFormat="1" ht="12.75"/>
    <row r="186" s="34" customFormat="1" ht="12.75"/>
    <row r="187" s="34" customFormat="1" ht="12.75"/>
    <row r="188" s="34" customFormat="1" ht="12.75"/>
    <row r="189" s="34" customFormat="1" ht="12.75"/>
    <row r="190" s="34" customFormat="1" ht="12.75"/>
    <row r="191" s="34" customFormat="1" ht="12.75"/>
    <row r="192" s="34" customFormat="1" ht="12.75"/>
    <row r="193" s="34" customFormat="1" ht="12.75"/>
    <row r="194" s="34" customFormat="1" ht="12.75"/>
    <row r="195" s="34" customFormat="1" ht="12.75"/>
    <row r="196" s="34" customFormat="1" ht="12.75"/>
    <row r="197" s="34" customFormat="1" ht="12.75"/>
    <row r="198" s="34" customFormat="1" ht="12.75"/>
    <row r="199" s="34" customFormat="1" ht="12.75"/>
    <row r="200" s="34" customFormat="1" ht="12.75"/>
    <row r="201" s="34" customFormat="1" ht="12.75"/>
    <row r="202" s="34" customFormat="1" ht="12.75"/>
    <row r="203" s="34" customFormat="1" ht="12.75"/>
    <row r="204" s="34" customFormat="1" ht="12.75"/>
    <row r="205" s="34" customFormat="1" ht="12.75"/>
    <row r="206" s="34" customFormat="1" ht="12.75"/>
    <row r="207" s="34" customFormat="1" ht="12.75"/>
    <row r="208" s="34" customFormat="1" ht="12.75"/>
    <row r="209" s="34" customFormat="1" ht="12.75"/>
    <row r="210" s="34" customFormat="1" ht="12.75"/>
    <row r="211" s="34" customFormat="1" ht="12.75"/>
    <row r="212" s="34" customFormat="1" ht="12.75"/>
    <row r="213" s="34" customFormat="1" ht="12.75"/>
    <row r="214" s="34" customFormat="1" ht="12.75"/>
    <row r="215" s="34" customFormat="1" ht="12.75"/>
    <row r="216" s="34" customFormat="1" ht="12.75"/>
    <row r="217" s="34" customFormat="1" ht="12.75"/>
    <row r="218" s="34" customFormat="1" ht="12.75"/>
    <row r="219" s="34" customFormat="1" ht="12.75"/>
    <row r="220" s="34" customFormat="1" ht="12.75"/>
    <row r="221" s="34" customFormat="1" ht="12.75"/>
    <row r="222" s="34" customFormat="1" ht="12.75"/>
    <row r="223" s="34" customFormat="1" ht="12.75"/>
    <row r="224" s="34" customFormat="1" ht="12.75"/>
    <row r="225" s="34" customFormat="1" ht="12.75"/>
    <row r="226" s="34" customFormat="1" ht="12.75"/>
    <row r="227" s="34" customFormat="1" ht="12.75"/>
    <row r="228" s="34" customFormat="1" ht="12.75"/>
    <row r="229" s="34" customFormat="1" ht="12.75"/>
    <row r="230" s="34" customFormat="1" ht="12.75"/>
    <row r="231" s="34" customFormat="1" ht="12.75"/>
    <row r="232" s="34" customFormat="1" ht="12.75"/>
    <row r="233" s="34" customFormat="1" ht="12.75"/>
    <row r="234" s="34" customFormat="1" ht="12.75"/>
    <row r="235" s="34" customFormat="1" ht="12.75"/>
    <row r="236" s="34" customFormat="1" ht="12.75"/>
    <row r="237" s="34" customFormat="1" ht="12.75"/>
    <row r="238" s="34" customFormat="1" ht="12.75"/>
    <row r="239" s="34" customFormat="1" ht="12.75"/>
    <row r="240" s="34" customFormat="1" ht="12.75"/>
    <row r="241" s="34" customFormat="1" ht="12.75"/>
    <row r="242" s="34" customFormat="1" ht="12.75"/>
    <row r="243" s="34" customFormat="1" ht="12.75"/>
    <row r="244" s="34" customFormat="1" ht="12.75"/>
    <row r="245" s="34" customFormat="1" ht="12.75"/>
    <row r="246" s="34" customFormat="1" ht="12.75"/>
    <row r="247" s="34" customFormat="1" ht="12.75"/>
    <row r="248" s="34" customFormat="1" ht="12.75"/>
    <row r="249" s="34" customFormat="1" ht="12.75"/>
    <row r="250" s="34" customFormat="1" ht="12.75"/>
    <row r="251" s="34" customFormat="1" ht="12.75"/>
    <row r="252" s="34" customFormat="1" ht="12.75"/>
    <row r="253" s="34" customFormat="1" ht="12.75"/>
    <row r="254" s="34" customFormat="1" ht="12.75"/>
    <row r="255" s="34" customFormat="1" ht="12.75"/>
    <row r="256" s="34" customFormat="1" ht="12.75"/>
    <row r="257" s="34" customFormat="1" ht="12.75"/>
    <row r="258" s="34" customFormat="1" ht="12.75"/>
    <row r="259" s="34" customFormat="1" ht="12.75"/>
    <row r="260" s="34" customFormat="1" ht="12.75"/>
    <row r="261" s="34" customFormat="1" ht="12.75"/>
    <row r="262" s="34" customFormat="1" ht="12.75"/>
    <row r="263" s="34" customFormat="1" ht="12.75"/>
    <row r="264" s="34" customFormat="1" ht="12.75"/>
    <row r="265" s="34" customFormat="1" ht="12.75"/>
    <row r="266" s="34" customFormat="1" ht="12.75"/>
    <row r="267" s="34" customFormat="1" ht="12.75"/>
    <row r="268" s="34" customFormat="1" ht="12.75"/>
    <row r="269" s="34" customFormat="1" ht="12.75"/>
    <row r="270" s="34" customFormat="1" ht="12.75"/>
    <row r="271" s="34" customFormat="1" ht="12.75"/>
    <row r="272" s="34" customFormat="1" ht="12.75"/>
    <row r="273" s="34" customFormat="1" ht="12.75"/>
    <row r="274" s="34" customFormat="1" ht="12.75"/>
    <row r="275" s="34" customFormat="1" ht="12.75"/>
    <row r="276" s="34" customFormat="1" ht="12.75"/>
    <row r="277" s="34" customFormat="1" ht="12.75"/>
    <row r="278" s="34" customFormat="1" ht="12.75"/>
    <row r="279" s="34" customFormat="1" ht="12.75"/>
    <row r="280" s="34" customFormat="1" ht="12.75"/>
    <row r="281" s="34" customFormat="1" ht="12.75"/>
    <row r="282" s="34" customFormat="1" ht="12.75"/>
    <row r="283" s="34" customFormat="1" ht="12.75"/>
    <row r="284" s="34" customFormat="1" ht="12.75"/>
    <row r="285" s="34" customFormat="1" ht="12.75"/>
    <row r="286" s="34" customFormat="1" ht="12.75"/>
    <row r="287" s="34" customFormat="1" ht="12.75"/>
    <row r="288" s="34" customFormat="1" ht="12.75"/>
    <row r="289" s="34" customFormat="1" ht="12.75"/>
    <row r="290" s="34" customFormat="1" ht="12.75"/>
    <row r="291" s="34" customFormat="1" ht="12.75"/>
    <row r="292" s="34" customFormat="1" ht="12.75"/>
    <row r="293" s="34" customFormat="1" ht="12.75"/>
    <row r="294" s="34" customFormat="1" ht="12.75"/>
    <row r="295" s="34" customFormat="1" ht="12.75"/>
    <row r="296" s="34" customFormat="1" ht="12.75"/>
    <row r="297" s="34" customFormat="1" ht="12.75"/>
    <row r="298" s="34" customFormat="1" ht="12.75"/>
    <row r="299" s="34" customFormat="1" ht="12.75"/>
    <row r="300" s="34" customFormat="1" ht="12.75"/>
    <row r="301" s="34" customFormat="1" ht="12.75"/>
    <row r="302" s="34" customFormat="1" ht="12.75"/>
    <row r="303" s="34" customFormat="1" ht="12.75"/>
    <row r="304" s="34" customFormat="1" ht="12.75"/>
    <row r="305" s="34" customFormat="1" ht="12.75"/>
    <row r="306" s="34" customFormat="1" ht="12.75"/>
    <row r="307" s="34" customFormat="1" ht="12.75"/>
    <row r="308" s="34" customFormat="1" ht="12.75"/>
    <row r="309" s="34" customFormat="1" ht="12.75"/>
    <row r="310" s="34" customFormat="1" ht="12.75"/>
    <row r="311" s="34" customFormat="1" ht="12.75"/>
    <row r="312" s="34" customFormat="1" ht="12.75"/>
    <row r="313" s="34" customFormat="1" ht="12.75"/>
    <row r="314" s="34" customFormat="1" ht="12.75"/>
    <row r="315" s="34" customFormat="1" ht="12.75"/>
    <row r="316" s="34" customFormat="1" ht="12.75"/>
    <row r="317" s="34" customFormat="1" ht="12.75"/>
    <row r="318" s="34" customFormat="1" ht="12.75"/>
    <row r="319" s="34" customFormat="1" ht="12.75"/>
    <row r="320" s="34" customFormat="1" ht="12.75"/>
    <row r="321" s="34" customFormat="1" ht="12.75"/>
    <row r="322" s="34" customFormat="1" ht="12.75"/>
    <row r="323" s="34" customFormat="1" ht="12.75"/>
    <row r="324" s="34" customFormat="1" ht="12.75"/>
    <row r="325" s="34" customFormat="1" ht="12.75"/>
    <row r="326" s="34" customFormat="1" ht="12.75"/>
    <row r="327" s="34" customFormat="1" ht="12.75"/>
    <row r="328" s="34" customFormat="1" ht="12.75"/>
    <row r="329" s="34" customFormat="1" ht="12.75"/>
    <row r="330" s="34" customFormat="1" ht="12.75"/>
    <row r="331" s="34" customFormat="1" ht="12.75"/>
    <row r="332" s="34" customFormat="1" ht="12.75"/>
    <row r="333" s="34" customFormat="1" ht="12.75"/>
    <row r="334" s="34" customFormat="1" ht="12.75"/>
    <row r="335" s="34" customFormat="1" ht="12.75"/>
    <row r="336" s="34" customFormat="1" ht="12.75"/>
    <row r="337" s="34" customFormat="1" ht="12.75"/>
    <row r="338" s="34" customFormat="1" ht="12.75"/>
    <row r="339" s="34" customFormat="1" ht="12.75"/>
    <row r="340" s="34" customFormat="1" ht="12.75"/>
    <row r="341" s="34" customFormat="1" ht="12.75"/>
    <row r="342" s="34" customFormat="1" ht="12.75"/>
    <row r="343" s="34" customFormat="1" ht="12.75"/>
    <row r="344" s="34" customFormat="1" ht="12.75"/>
    <row r="345" s="34" customFormat="1" ht="12.75"/>
    <row r="346" s="34" customFormat="1" ht="12.75"/>
    <row r="347" s="34" customFormat="1" ht="12.75"/>
    <row r="348" s="34" customFormat="1" ht="12.75"/>
    <row r="349" s="34" customFormat="1" ht="12.75"/>
    <row r="350" s="34" customFormat="1" ht="12.75"/>
    <row r="351" s="34" customFormat="1" ht="12.75"/>
    <row r="352" s="34" customFormat="1" ht="12.75"/>
    <row r="353" s="34" customFormat="1" ht="12.75"/>
    <row r="354" s="34" customFormat="1" ht="12.75"/>
    <row r="355" s="34" customFormat="1" ht="12.75"/>
    <row r="356" s="34" customFormat="1" ht="12.75"/>
    <row r="357" s="34" customFormat="1" ht="12.75"/>
    <row r="358" s="34" customFormat="1" ht="12.75"/>
    <row r="359" s="34" customFormat="1" ht="12.75"/>
    <row r="360" s="34" customFormat="1" ht="12.75"/>
    <row r="361" s="34" customFormat="1" ht="12.75"/>
    <row r="362" s="34" customFormat="1" ht="12.75"/>
    <row r="363" s="34" customFormat="1" ht="12.75"/>
    <row r="364" s="34" customFormat="1" ht="12.75"/>
    <row r="365" s="34" customFormat="1" ht="12.75"/>
    <row r="366" s="34" customFormat="1" ht="12.75"/>
    <row r="367" s="34" customFormat="1" ht="12.75"/>
    <row r="368" s="34" customFormat="1" ht="12.75"/>
    <row r="369" s="34" customFormat="1" ht="12.75"/>
    <row r="370" s="34" customFormat="1" ht="12.75"/>
    <row r="371" s="34" customFormat="1" ht="12.75"/>
    <row r="372" s="34" customFormat="1" ht="12.75"/>
    <row r="373" s="34" customFormat="1" ht="12.75"/>
    <row r="374" s="34" customFormat="1" ht="12.75"/>
    <row r="375" s="34" customFormat="1" ht="12.75"/>
    <row r="376" s="34" customFormat="1" ht="12.75"/>
    <row r="377" s="34" customFormat="1" ht="12.75"/>
    <row r="378" s="34" customFormat="1" ht="12.75"/>
    <row r="379" s="34" customFormat="1" ht="12.75"/>
    <row r="380" s="34" customFormat="1" ht="12.75"/>
    <row r="381" s="34" customFormat="1" ht="12.75"/>
    <row r="382" s="34" customFormat="1" ht="12.75"/>
    <row r="383" s="34" customFormat="1" ht="12.75"/>
    <row r="384" s="34" customFormat="1" ht="12.75"/>
    <row r="385" s="34" customFormat="1" ht="12.75"/>
    <row r="386" s="34" customFormat="1" ht="12.75"/>
    <row r="387" s="34" customFormat="1" ht="12.75"/>
    <row r="388" s="34" customFormat="1" ht="12.75"/>
    <row r="389" s="34" customFormat="1" ht="12.75"/>
    <row r="390" s="34" customFormat="1" ht="12.75"/>
    <row r="391" s="34" customFormat="1" ht="12.75"/>
    <row r="392" s="34" customFormat="1" ht="12.75"/>
    <row r="393" s="34" customFormat="1" ht="12.75"/>
    <row r="394" s="34" customFormat="1" ht="12.75"/>
    <row r="395" s="34" customFormat="1" ht="12.75"/>
    <row r="396" s="34" customFormat="1" ht="12.75"/>
    <row r="397" s="34" customFormat="1" ht="12.75"/>
    <row r="398" s="34" customFormat="1" ht="12.75"/>
    <row r="399" s="34" customFormat="1" ht="12.75"/>
    <row r="400" s="34" customFormat="1" ht="12.75"/>
    <row r="401" s="34" customFormat="1" ht="12.75"/>
    <row r="402" s="34" customFormat="1" ht="12.75"/>
    <row r="403" s="34" customFormat="1" ht="12.75"/>
    <row r="404" s="34" customFormat="1" ht="12.75"/>
    <row r="405" s="34" customFormat="1" ht="12.75"/>
    <row r="406" s="34" customFormat="1" ht="12.75"/>
    <row r="407" s="34" customFormat="1" ht="12.75"/>
    <row r="408" s="34" customFormat="1" ht="12.75"/>
    <row r="409" s="34" customFormat="1" ht="12.75"/>
    <row r="410" s="34" customFormat="1" ht="12.75"/>
    <row r="411" s="34" customFormat="1" ht="12.75"/>
    <row r="412" s="34" customFormat="1" ht="12.75"/>
    <row r="413" s="34" customFormat="1" ht="12.75"/>
    <row r="414" s="34" customFormat="1" ht="12.75"/>
    <row r="415" s="34" customFormat="1" ht="12.75"/>
    <row r="416" s="34" customFormat="1" ht="12.75"/>
    <row r="417" s="34" customFormat="1" ht="12.75"/>
    <row r="418" s="34" customFormat="1" ht="12.75"/>
    <row r="419" s="34" customFormat="1" ht="12.75"/>
    <row r="420" s="34" customFormat="1" ht="12.75"/>
    <row r="421" s="34" customFormat="1" ht="12.75"/>
    <row r="422" s="34" customFormat="1" ht="12.75"/>
    <row r="423" s="34" customFormat="1" ht="12.75"/>
    <row r="424" s="34" customFormat="1" ht="12.75"/>
    <row r="425" s="34" customFormat="1" ht="12.75"/>
    <row r="426" s="34" customFormat="1" ht="12.75"/>
    <row r="427" s="34" customFormat="1" ht="12.75"/>
    <row r="428" s="34" customFormat="1" ht="12.75"/>
    <row r="429" s="34" customFormat="1" ht="12.75"/>
    <row r="430" s="34" customFormat="1" ht="12.75"/>
    <row r="431" s="34" customFormat="1" ht="12.75"/>
    <row r="432" s="34" customFormat="1" ht="12.75"/>
    <row r="433" s="34" customFormat="1" ht="12.75"/>
    <row r="434" s="34" customFormat="1" ht="12.75"/>
    <row r="435" s="34" customFormat="1" ht="12.75"/>
    <row r="436" s="34" customFormat="1" ht="12.75"/>
    <row r="437" s="34" customFormat="1" ht="12.75"/>
    <row r="438" s="34" customFormat="1" ht="12.75"/>
    <row r="439" s="34" customFormat="1" ht="12.75"/>
    <row r="440" s="34" customFormat="1" ht="12.75"/>
    <row r="441" s="34" customFormat="1" ht="12.75"/>
    <row r="442" s="34" customFormat="1" ht="12.75"/>
    <row r="443" s="34" customFormat="1" ht="12.75"/>
    <row r="444" s="34" customFormat="1" ht="12.75"/>
    <row r="445" s="34" customFormat="1" ht="12.75"/>
    <row r="446" s="34" customFormat="1" ht="12.75"/>
    <row r="447" s="34" customFormat="1" ht="12.75"/>
    <row r="448" s="34" customFormat="1" ht="12.75"/>
    <row r="449" s="34" customFormat="1" ht="12.75"/>
    <row r="450" s="34" customFormat="1" ht="12.75"/>
    <row r="451" s="34" customFormat="1" ht="12.75"/>
    <row r="452" s="34" customFormat="1" ht="12.75"/>
    <row r="453" s="34" customFormat="1" ht="12.75"/>
    <row r="454" s="34" customFormat="1" ht="12.75"/>
    <row r="455" s="34" customFormat="1" ht="12.75"/>
    <row r="456" s="34" customFormat="1" ht="12.75"/>
    <row r="457" s="34" customFormat="1" ht="12.75"/>
    <row r="458" s="34" customFormat="1" ht="12.75"/>
    <row r="459" s="34" customFormat="1" ht="12.75"/>
    <row r="460" s="34" customFormat="1" ht="12.75"/>
    <row r="461" s="34" customFormat="1" ht="12.75"/>
    <row r="462" s="34" customFormat="1" ht="12.75"/>
    <row r="463" s="34" customFormat="1" ht="12.75"/>
    <row r="464" s="34" customFormat="1" ht="12.75"/>
    <row r="465" s="34" customFormat="1" ht="12.75"/>
    <row r="466" s="34" customFormat="1" ht="12.75"/>
    <row r="467" s="34" customFormat="1" ht="12.75"/>
    <row r="468" s="34" customFormat="1" ht="12.75"/>
    <row r="469" s="34" customFormat="1" ht="12.75"/>
    <row r="470" s="34" customFormat="1" ht="12.75"/>
    <row r="471" s="34" customFormat="1" ht="12.75"/>
    <row r="472" s="34" customFormat="1" ht="12.75"/>
    <row r="473" s="34" customFormat="1" ht="12.75"/>
    <row r="474" s="34" customFormat="1" ht="12.75"/>
    <row r="475" s="34" customFormat="1" ht="12.75"/>
    <row r="476" s="34" customFormat="1" ht="12.75"/>
    <row r="477" s="34" customFormat="1" ht="12.75"/>
    <row r="478" s="34" customFormat="1" ht="12.75"/>
    <row r="479" s="34" customFormat="1" ht="12.75"/>
    <row r="480" s="34" customFormat="1" ht="12.75"/>
    <row r="481" s="34" customFormat="1" ht="12.75"/>
    <row r="482" s="34" customFormat="1" ht="12.75"/>
    <row r="483" s="34" customFormat="1" ht="12.75"/>
    <row r="484" s="34" customFormat="1" ht="12.75"/>
    <row r="485" s="34" customFormat="1" ht="12.75"/>
    <row r="486" s="34" customFormat="1" ht="12.75"/>
    <row r="487" s="34" customFormat="1" ht="12.75"/>
    <row r="488" s="34" customFormat="1" ht="12.75"/>
    <row r="489" s="34" customFormat="1" ht="12.75"/>
    <row r="490" s="34" customFormat="1" ht="12.75"/>
    <row r="491" s="34" customFormat="1" ht="12.75"/>
    <row r="492" s="34" customFormat="1" ht="12.75"/>
    <row r="493" s="34" customFormat="1" ht="12.75"/>
    <row r="494" s="34" customFormat="1" ht="12.75"/>
    <row r="495" s="34" customFormat="1" ht="12.75"/>
    <row r="496" s="34" customFormat="1" ht="12.75"/>
    <row r="497" s="34" customFormat="1" ht="12.75"/>
    <row r="498" s="34" customFormat="1" ht="12.75"/>
    <row r="499" s="34" customFormat="1" ht="12.75"/>
    <row r="500" s="34" customFormat="1" ht="12.75"/>
    <row r="501" s="34" customFormat="1" ht="12.75"/>
    <row r="502" s="34" customFormat="1" ht="12.75"/>
    <row r="503" s="34" customFormat="1" ht="12.75"/>
    <row r="504" s="34" customFormat="1" ht="12.75"/>
    <row r="505" s="34" customFormat="1" ht="12.75"/>
    <row r="506" s="34" customFormat="1" ht="12.75"/>
    <row r="507" s="34" customFormat="1" ht="12.75"/>
    <row r="508" s="34" customFormat="1" ht="12.75"/>
    <row r="509" s="34" customFormat="1" ht="12.75"/>
    <row r="510" s="34" customFormat="1" ht="12.75"/>
    <row r="511" s="34" customFormat="1" ht="12.75"/>
    <row r="512" s="34" customFormat="1" ht="12.75"/>
    <row r="513" s="34" customFormat="1" ht="12.75"/>
    <row r="514" s="34" customFormat="1" ht="12.75"/>
    <row r="515" s="34" customFormat="1" ht="12.75"/>
    <row r="516" s="34" customFormat="1" ht="12.75"/>
    <row r="517" s="34" customFormat="1" ht="12.75"/>
    <row r="518" s="34" customFormat="1" ht="12.75"/>
    <row r="519" s="34" customFormat="1" ht="12.75"/>
    <row r="520" s="34" customFormat="1" ht="12.75"/>
    <row r="521" s="34" customFormat="1" ht="12.75"/>
    <row r="522" s="34" customFormat="1" ht="12.75"/>
    <row r="523" s="34" customFormat="1" ht="12.75"/>
    <row r="524" s="34" customFormat="1" ht="12.75"/>
    <row r="525" s="34" customFormat="1" ht="12.75"/>
  </sheetData>
  <sheetProtection password="EEAE" sheet="1" objects="1" scenarios="1" selectLockedCells="1" selectUnlockedCells="1"/>
  <protectedRanges>
    <protectedRange sqref="C22:H24 B23:B24" name="Range1_1"/>
  </protectedRanges>
  <mergeCells count="1">
    <mergeCell ref="A1:R1"/>
  </mergeCells>
  <printOptions/>
  <pageMargins left="0.7" right="0.7" top="0.75" bottom="0.75" header="0.3" footer="0.3"/>
  <pageSetup horizontalDpi="120" verticalDpi="120" orientation="portrait" r:id="rId2"/>
  <legacyDrawing r:id="rId1"/>
</worksheet>
</file>

<file path=xl/worksheets/sheet2.xml><?xml version="1.0" encoding="utf-8"?>
<worksheet xmlns="http://schemas.openxmlformats.org/spreadsheetml/2006/main" xmlns:r="http://schemas.openxmlformats.org/officeDocument/2006/relationships">
  <sheetPr codeName="Sheet6"/>
  <dimension ref="A1:DQ449"/>
  <sheetViews>
    <sheetView showGridLines="0" tabSelected="1" zoomScalePageLayoutView="0" workbookViewId="0" topLeftCell="A19">
      <selection activeCell="P22" sqref="P22"/>
    </sheetView>
  </sheetViews>
  <sheetFormatPr defaultColWidth="9.33203125" defaultRowHeight="15.75" customHeight="1"/>
  <cols>
    <col min="1" max="1" width="4.16015625" style="4" customWidth="1"/>
    <col min="2" max="2" width="7.33203125" style="3" customWidth="1"/>
    <col min="3" max="3" width="15.66015625" style="3" customWidth="1"/>
    <col min="4" max="4" width="6" style="3" customWidth="1"/>
    <col min="5" max="6" width="7.5" style="3" customWidth="1"/>
    <col min="7" max="7" width="5" style="4" customWidth="1"/>
    <col min="8" max="8" width="9.83203125" style="4" customWidth="1"/>
    <col min="9" max="9" width="15.66015625" style="4" customWidth="1"/>
    <col min="10" max="10" width="7.83203125" style="4" customWidth="1"/>
    <col min="11" max="11" width="6.33203125" style="4" customWidth="1"/>
    <col min="12" max="12" width="8.16015625" style="4" customWidth="1"/>
    <col min="13" max="13" width="7.83203125" style="4" customWidth="1"/>
    <col min="14" max="14" width="13.83203125" style="4" customWidth="1"/>
    <col min="15" max="15" width="10.5" style="4" customWidth="1"/>
    <col min="16" max="16" width="16.66015625" style="4" customWidth="1"/>
    <col min="17" max="17" width="12.83203125" style="317" customWidth="1"/>
    <col min="18" max="18" width="15.16015625" style="317" customWidth="1"/>
    <col min="19" max="19" width="8.33203125" style="317" customWidth="1"/>
    <col min="20" max="20" width="14.16015625" style="317" customWidth="1"/>
    <col min="21" max="107" width="12.83203125" style="317" customWidth="1"/>
    <col min="108" max="109" width="9.33203125" style="317" customWidth="1"/>
    <col min="110" max="110" width="9.33203125" style="318" customWidth="1"/>
    <col min="111" max="111" width="19.33203125" style="317" customWidth="1"/>
    <col min="112" max="112" width="15.66015625" style="317" customWidth="1"/>
    <col min="113" max="113" width="9.33203125" style="319" customWidth="1"/>
    <col min="114" max="121" width="9.33203125" style="317" customWidth="1"/>
    <col min="122" max="16384" width="9.33203125" style="4" customWidth="1"/>
  </cols>
  <sheetData>
    <row r="1" spans="1:54" ht="16.5" customHeight="1">
      <c r="A1" s="136"/>
      <c r="B1" s="489" t="s">
        <v>233</v>
      </c>
      <c r="C1" s="490"/>
      <c r="D1" s="490"/>
      <c r="E1" s="490"/>
      <c r="F1" s="490"/>
      <c r="G1" s="490"/>
      <c r="H1" s="490"/>
      <c r="I1" s="490"/>
      <c r="J1" s="490"/>
      <c r="K1" s="490"/>
      <c r="L1" s="490"/>
      <c r="M1" s="490"/>
      <c r="N1" s="490"/>
      <c r="O1" s="490"/>
      <c r="P1" s="491"/>
      <c r="Q1" s="315"/>
      <c r="R1" s="315"/>
      <c r="S1" s="315"/>
      <c r="T1" s="315"/>
      <c r="U1" s="315"/>
      <c r="V1" s="315"/>
      <c r="W1" s="315"/>
      <c r="X1" s="315"/>
      <c r="Y1" s="315"/>
      <c r="Z1" s="315"/>
      <c r="AA1" s="315"/>
      <c r="AB1" s="315"/>
      <c r="AC1" s="315"/>
      <c r="AD1" s="315"/>
      <c r="AE1" s="315"/>
      <c r="AF1" s="315"/>
      <c r="AG1" s="315"/>
      <c r="AH1" s="315"/>
      <c r="AI1" s="315"/>
      <c r="AJ1" s="315"/>
      <c r="AK1" s="315"/>
      <c r="AL1" s="316"/>
      <c r="AM1" s="316"/>
      <c r="AN1" s="316"/>
      <c r="AO1" s="316"/>
      <c r="AP1" s="316"/>
      <c r="AQ1" s="316"/>
      <c r="AR1" s="316"/>
      <c r="AS1" s="316"/>
      <c r="AT1" s="316"/>
      <c r="AU1" s="316"/>
      <c r="AV1" s="316"/>
      <c r="AW1" s="316"/>
      <c r="AX1" s="316"/>
      <c r="AY1" s="316"/>
      <c r="AZ1" s="316"/>
      <c r="BA1" s="316"/>
      <c r="BB1" s="316"/>
    </row>
    <row r="2" spans="1:54" ht="8.25" customHeight="1">
      <c r="A2" s="137"/>
      <c r="B2" s="492"/>
      <c r="C2" s="493"/>
      <c r="D2" s="493"/>
      <c r="E2" s="493"/>
      <c r="F2" s="493"/>
      <c r="G2" s="493"/>
      <c r="H2" s="493"/>
      <c r="I2" s="493"/>
      <c r="J2" s="493"/>
      <c r="K2" s="493"/>
      <c r="L2" s="493"/>
      <c r="M2" s="493"/>
      <c r="N2" s="493"/>
      <c r="O2" s="493"/>
      <c r="P2" s="494"/>
      <c r="Q2" s="315"/>
      <c r="R2" s="315"/>
      <c r="S2" s="315"/>
      <c r="T2" s="315"/>
      <c r="U2" s="315"/>
      <c r="V2" s="315"/>
      <c r="W2" s="315"/>
      <c r="X2" s="315"/>
      <c r="Y2" s="315"/>
      <c r="Z2" s="315"/>
      <c r="AA2" s="315"/>
      <c r="AB2" s="315"/>
      <c r="AC2" s="315"/>
      <c r="AD2" s="315"/>
      <c r="AE2" s="315"/>
      <c r="AF2" s="315"/>
      <c r="AG2" s="315"/>
      <c r="AH2" s="315"/>
      <c r="AI2" s="315"/>
      <c r="AJ2" s="315"/>
      <c r="AK2" s="315"/>
      <c r="AL2" s="316"/>
      <c r="AM2" s="316"/>
      <c r="AN2" s="316"/>
      <c r="AO2" s="316"/>
      <c r="AP2" s="316"/>
      <c r="AQ2" s="316"/>
      <c r="AR2" s="316"/>
      <c r="AS2" s="316"/>
      <c r="AT2" s="316"/>
      <c r="AU2" s="316"/>
      <c r="AV2" s="316"/>
      <c r="AW2" s="316"/>
      <c r="AX2" s="316"/>
      <c r="AY2" s="316"/>
      <c r="AZ2" s="316"/>
      <c r="BA2" s="316"/>
      <c r="BB2" s="316"/>
    </row>
    <row r="3" spans="1:54" ht="6" customHeight="1" thickBot="1">
      <c r="A3" s="137"/>
      <c r="B3" s="139"/>
      <c r="C3" s="6"/>
      <c r="D3" s="6"/>
      <c r="E3" s="6"/>
      <c r="F3" s="6"/>
      <c r="G3" s="6"/>
      <c r="H3" s="6"/>
      <c r="I3" s="6"/>
      <c r="J3" s="6"/>
      <c r="K3" s="128"/>
      <c r="L3" s="128"/>
      <c r="M3" s="128"/>
      <c r="N3" s="140"/>
      <c r="O3" s="128"/>
      <c r="P3" s="138"/>
      <c r="Q3" s="315"/>
      <c r="R3" s="315"/>
      <c r="S3" s="315"/>
      <c r="T3" s="315"/>
      <c r="U3" s="315"/>
      <c r="V3" s="315"/>
      <c r="W3" s="315"/>
      <c r="X3" s="315"/>
      <c r="Y3" s="315"/>
      <c r="Z3" s="315"/>
      <c r="AA3" s="315"/>
      <c r="AB3" s="315"/>
      <c r="AC3" s="315"/>
      <c r="AD3" s="315"/>
      <c r="AE3" s="315"/>
      <c r="AF3" s="315"/>
      <c r="AG3" s="315"/>
      <c r="AH3" s="315"/>
      <c r="AI3" s="315"/>
      <c r="AJ3" s="315"/>
      <c r="AK3" s="315"/>
      <c r="AL3" s="316"/>
      <c r="AM3" s="316"/>
      <c r="AN3" s="316"/>
      <c r="AO3" s="316"/>
      <c r="AP3" s="316"/>
      <c r="AQ3" s="316"/>
      <c r="AR3" s="316"/>
      <c r="AS3" s="316"/>
      <c r="AT3" s="316"/>
      <c r="AU3" s="316"/>
      <c r="AV3" s="316"/>
      <c r="AW3" s="316"/>
      <c r="AX3" s="316"/>
      <c r="AY3" s="316"/>
      <c r="AZ3" s="316"/>
      <c r="BA3" s="316"/>
      <c r="BB3" s="316"/>
    </row>
    <row r="4" spans="1:107" ht="26.25" customHeight="1" thickBot="1">
      <c r="A4" s="137"/>
      <c r="B4" s="296" t="s">
        <v>3</v>
      </c>
      <c r="C4" s="480" t="s">
        <v>613</v>
      </c>
      <c r="D4" s="481"/>
      <c r="E4" s="481"/>
      <c r="F4" s="481"/>
      <c r="G4" s="481"/>
      <c r="H4" s="482"/>
      <c r="I4" s="458" t="s">
        <v>17</v>
      </c>
      <c r="J4" s="459"/>
      <c r="K4" s="460"/>
      <c r="L4" s="480" t="s">
        <v>614</v>
      </c>
      <c r="M4" s="481"/>
      <c r="N4" s="481"/>
      <c r="O4" s="481"/>
      <c r="P4" s="482"/>
      <c r="Q4" s="315"/>
      <c r="R4" s="315"/>
      <c r="S4" s="315"/>
      <c r="T4" s="315"/>
      <c r="U4" s="315"/>
      <c r="V4" s="315"/>
      <c r="W4" s="315"/>
      <c r="X4" s="315"/>
      <c r="Y4" s="315"/>
      <c r="Z4" s="315"/>
      <c r="AA4" s="315"/>
      <c r="AB4" s="315"/>
      <c r="AC4" s="315"/>
      <c r="AD4" s="315"/>
      <c r="AE4" s="315"/>
      <c r="AF4" s="315"/>
      <c r="AG4" s="315"/>
      <c r="AH4" s="315"/>
      <c r="AI4" s="315"/>
      <c r="AJ4" s="315"/>
      <c r="AK4" s="315"/>
      <c r="AL4" s="316"/>
      <c r="AM4" s="316"/>
      <c r="AN4" s="316"/>
      <c r="AO4" s="316"/>
      <c r="AP4" s="316"/>
      <c r="AQ4" s="316"/>
      <c r="AR4" s="316"/>
      <c r="AS4" s="316"/>
      <c r="AT4" s="316"/>
      <c r="AU4" s="316"/>
      <c r="AV4" s="316"/>
      <c r="AW4" s="316"/>
      <c r="AX4" s="316"/>
      <c r="AY4" s="316"/>
      <c r="AZ4" s="316"/>
      <c r="BA4" s="316"/>
      <c r="BB4" s="316"/>
      <c r="BC4" s="329"/>
      <c r="BD4" s="329"/>
      <c r="BE4" s="329"/>
      <c r="BF4" s="329"/>
      <c r="BG4" s="329"/>
      <c r="BH4" s="329"/>
      <c r="BI4" s="329"/>
      <c r="BJ4" s="329"/>
      <c r="BK4" s="329"/>
      <c r="BL4" s="329"/>
      <c r="BM4" s="329"/>
      <c r="BN4" s="329"/>
      <c r="BO4" s="329"/>
      <c r="BP4" s="329"/>
      <c r="BQ4" s="329"/>
      <c r="BR4" s="329"/>
      <c r="BS4" s="329"/>
      <c r="BT4" s="329"/>
      <c r="BU4" s="329"/>
      <c r="BV4" s="329"/>
      <c r="BW4" s="329"/>
      <c r="BX4" s="329"/>
      <c r="BY4" s="329"/>
      <c r="BZ4" s="329"/>
      <c r="CA4" s="329"/>
      <c r="CB4" s="329"/>
      <c r="CC4" s="329"/>
      <c r="CD4" s="329"/>
      <c r="CE4" s="329"/>
      <c r="CF4" s="329"/>
      <c r="CG4" s="329"/>
      <c r="CH4" s="329"/>
      <c r="CI4" s="329"/>
      <c r="CJ4" s="329"/>
      <c r="CK4" s="329"/>
      <c r="CL4" s="329"/>
      <c r="CM4" s="329"/>
      <c r="CN4" s="329"/>
      <c r="CO4" s="329"/>
      <c r="CP4" s="329"/>
      <c r="CQ4" s="329"/>
      <c r="CR4" s="329"/>
      <c r="CS4" s="329"/>
      <c r="CT4" s="329"/>
      <c r="CU4" s="329"/>
      <c r="CV4" s="329"/>
      <c r="CW4" s="329"/>
      <c r="CX4" s="329"/>
      <c r="CY4" s="329"/>
      <c r="CZ4" s="329"/>
      <c r="DA4" s="329"/>
      <c r="DB4" s="329"/>
      <c r="DC4" s="329"/>
    </row>
    <row r="5" spans="1:54" ht="6" customHeight="1" thickBot="1">
      <c r="A5" s="137"/>
      <c r="B5" s="139"/>
      <c r="C5" s="6"/>
      <c r="D5" s="6"/>
      <c r="E5" s="6"/>
      <c r="F5" s="6"/>
      <c r="G5" s="6"/>
      <c r="H5" s="6"/>
      <c r="I5" s="6"/>
      <c r="J5" s="6"/>
      <c r="K5" s="6"/>
      <c r="L5" s="6"/>
      <c r="M5" s="6"/>
      <c r="N5" s="6"/>
      <c r="O5" s="6"/>
      <c r="P5" s="138"/>
      <c r="Q5" s="315"/>
      <c r="R5" s="315"/>
      <c r="S5" s="315"/>
      <c r="T5" s="315"/>
      <c r="U5" s="315"/>
      <c r="V5" s="315"/>
      <c r="W5" s="315"/>
      <c r="X5" s="315"/>
      <c r="Y5" s="315"/>
      <c r="Z5" s="315"/>
      <c r="AA5" s="315"/>
      <c r="AB5" s="315"/>
      <c r="AC5" s="315"/>
      <c r="AD5" s="315"/>
      <c r="AE5" s="315"/>
      <c r="AF5" s="315"/>
      <c r="AG5" s="315"/>
      <c r="AH5" s="315"/>
      <c r="AI5" s="315"/>
      <c r="AJ5" s="315"/>
      <c r="AK5" s="315"/>
      <c r="AL5" s="316"/>
      <c r="AM5" s="316"/>
      <c r="AN5" s="316"/>
      <c r="AO5" s="316"/>
      <c r="AP5" s="316"/>
      <c r="AQ5" s="316"/>
      <c r="AR5" s="316"/>
      <c r="AS5" s="316"/>
      <c r="AT5" s="316"/>
      <c r="AU5" s="316"/>
      <c r="AV5" s="316"/>
      <c r="AW5" s="316"/>
      <c r="AX5" s="316"/>
      <c r="AY5" s="316"/>
      <c r="AZ5" s="316"/>
      <c r="BA5" s="316"/>
      <c r="BB5" s="316"/>
    </row>
    <row r="6" spans="1:54" ht="23.25" customHeight="1" thickBot="1">
      <c r="A6" s="137"/>
      <c r="B6" s="458" t="s">
        <v>18</v>
      </c>
      <c r="C6" s="460"/>
      <c r="D6" s="480" t="s">
        <v>50</v>
      </c>
      <c r="E6" s="481"/>
      <c r="F6" s="481"/>
      <c r="G6" s="481"/>
      <c r="H6" s="481"/>
      <c r="I6" s="482"/>
      <c r="J6" s="458" t="s">
        <v>49</v>
      </c>
      <c r="K6" s="459"/>
      <c r="L6" s="460"/>
      <c r="M6" s="480" t="s">
        <v>50</v>
      </c>
      <c r="N6" s="481"/>
      <c r="O6" s="482"/>
      <c r="P6" s="138"/>
      <c r="Q6" s="315"/>
      <c r="R6" s="315"/>
      <c r="S6" s="315"/>
      <c r="T6" s="315"/>
      <c r="U6" s="315"/>
      <c r="V6" s="315"/>
      <c r="W6" s="315"/>
      <c r="X6" s="315"/>
      <c r="Y6" s="315"/>
      <c r="Z6" s="315"/>
      <c r="AA6" s="315"/>
      <c r="AB6" s="315"/>
      <c r="AC6" s="315"/>
      <c r="AD6" s="315"/>
      <c r="AE6" s="315"/>
      <c r="AF6" s="315"/>
      <c r="AG6" s="315"/>
      <c r="AH6" s="315"/>
      <c r="AI6" s="315"/>
      <c r="AJ6" s="315"/>
      <c r="AK6" s="315"/>
      <c r="AL6" s="316"/>
      <c r="AM6" s="316"/>
      <c r="AN6" s="316"/>
      <c r="AO6" s="316"/>
      <c r="AP6" s="316"/>
      <c r="AQ6" s="316"/>
      <c r="AR6" s="316"/>
      <c r="AS6" s="316"/>
      <c r="AT6" s="316"/>
      <c r="AU6" s="316"/>
      <c r="AV6" s="316"/>
      <c r="AW6" s="316"/>
      <c r="AX6" s="316"/>
      <c r="AY6" s="316"/>
      <c r="AZ6" s="316"/>
      <c r="BA6" s="316"/>
      <c r="BB6" s="316"/>
    </row>
    <row r="7" spans="1:54" ht="3.75" customHeight="1" thickBot="1">
      <c r="A7" s="137"/>
      <c r="B7" s="152"/>
      <c r="C7" s="153"/>
      <c r="D7" s="153"/>
      <c r="E7" s="153"/>
      <c r="F7" s="153"/>
      <c r="G7" s="153"/>
      <c r="H7" s="153"/>
      <c r="I7" s="153"/>
      <c r="J7" s="153"/>
      <c r="K7" s="153"/>
      <c r="L7" s="153"/>
      <c r="M7" s="153"/>
      <c r="N7" s="153"/>
      <c r="O7" s="153"/>
      <c r="P7" s="138"/>
      <c r="Q7" s="315"/>
      <c r="R7" s="315"/>
      <c r="S7" s="315"/>
      <c r="T7" s="315"/>
      <c r="U7" s="315"/>
      <c r="V7" s="315"/>
      <c r="W7" s="315"/>
      <c r="X7" s="315"/>
      <c r="Y7" s="315"/>
      <c r="Z7" s="315"/>
      <c r="AA7" s="315"/>
      <c r="AB7" s="315"/>
      <c r="AC7" s="315"/>
      <c r="AD7" s="315"/>
      <c r="AE7" s="315"/>
      <c r="AF7" s="315"/>
      <c r="AG7" s="315"/>
      <c r="AH7" s="315"/>
      <c r="AI7" s="315"/>
      <c r="AJ7" s="315"/>
      <c r="AK7" s="315"/>
      <c r="AL7" s="316"/>
      <c r="AM7" s="316"/>
      <c r="AN7" s="316"/>
      <c r="AO7" s="316"/>
      <c r="AP7" s="316"/>
      <c r="AQ7" s="316"/>
      <c r="AR7" s="316"/>
      <c r="AS7" s="316"/>
      <c r="AT7" s="316"/>
      <c r="AU7" s="316"/>
      <c r="AV7" s="316"/>
      <c r="AW7" s="316"/>
      <c r="AX7" s="316"/>
      <c r="AY7" s="316"/>
      <c r="AZ7" s="316"/>
      <c r="BA7" s="316"/>
      <c r="BB7" s="316"/>
    </row>
    <row r="8" spans="1:54" ht="27" customHeight="1" thickBot="1">
      <c r="A8" s="137"/>
      <c r="B8" s="567" t="s">
        <v>235</v>
      </c>
      <c r="C8" s="568"/>
      <c r="D8" s="568"/>
      <c r="E8" s="569"/>
      <c r="F8" s="455" t="s">
        <v>615</v>
      </c>
      <c r="G8" s="456"/>
      <c r="H8" s="456"/>
      <c r="I8" s="456"/>
      <c r="J8" s="457"/>
      <c r="K8" s="452" t="s">
        <v>44</v>
      </c>
      <c r="L8" s="453"/>
      <c r="M8" s="454"/>
      <c r="N8" s="455" t="s">
        <v>615</v>
      </c>
      <c r="O8" s="456"/>
      <c r="P8" s="457"/>
      <c r="Q8" s="315"/>
      <c r="R8" s="315"/>
      <c r="S8" s="315"/>
      <c r="T8" s="315"/>
      <c r="U8" s="315"/>
      <c r="V8" s="315"/>
      <c r="W8" s="315"/>
      <c r="X8" s="315"/>
      <c r="Y8" s="315"/>
      <c r="Z8" s="315"/>
      <c r="AA8" s="315"/>
      <c r="AB8" s="315"/>
      <c r="AC8" s="315"/>
      <c r="AD8" s="315"/>
      <c r="AE8" s="315"/>
      <c r="AF8" s="315"/>
      <c r="AG8" s="315"/>
      <c r="AH8" s="315"/>
      <c r="AI8" s="315"/>
      <c r="AJ8" s="315"/>
      <c r="AK8" s="315"/>
      <c r="AL8" s="316"/>
      <c r="AM8" s="316"/>
      <c r="AN8" s="316"/>
      <c r="AO8" s="316"/>
      <c r="AP8" s="316"/>
      <c r="AQ8" s="316"/>
      <c r="AR8" s="316"/>
      <c r="AS8" s="316"/>
      <c r="AT8" s="316"/>
      <c r="AU8" s="316"/>
      <c r="AV8" s="316"/>
      <c r="AW8" s="316"/>
      <c r="AX8" s="316"/>
      <c r="AY8" s="316"/>
      <c r="AZ8" s="316"/>
      <c r="BA8" s="316"/>
      <c r="BB8" s="316"/>
    </row>
    <row r="9" spans="1:54" ht="4.5" customHeight="1" thickBot="1">
      <c r="A9" s="137"/>
      <c r="B9" s="141"/>
      <c r="C9" s="142"/>
      <c r="D9" s="142"/>
      <c r="E9" s="142"/>
      <c r="F9" s="142"/>
      <c r="G9" s="135"/>
      <c r="H9" s="6"/>
      <c r="I9" s="6"/>
      <c r="J9" s="6"/>
      <c r="K9" s="128"/>
      <c r="L9" s="128"/>
      <c r="M9" s="6"/>
      <c r="N9" s="6"/>
      <c r="O9" s="6"/>
      <c r="P9" s="138"/>
      <c r="Q9" s="315"/>
      <c r="R9" s="315"/>
      <c r="S9" s="315"/>
      <c r="T9" s="315"/>
      <c r="U9" s="315"/>
      <c r="V9" s="315"/>
      <c r="W9" s="315"/>
      <c r="X9" s="315"/>
      <c r="Y9" s="315"/>
      <c r="Z9" s="315"/>
      <c r="AA9" s="315"/>
      <c r="AB9" s="315"/>
      <c r="AC9" s="315"/>
      <c r="AD9" s="315"/>
      <c r="AE9" s="315"/>
      <c r="AF9" s="315"/>
      <c r="AG9" s="315"/>
      <c r="AH9" s="315"/>
      <c r="AI9" s="315"/>
      <c r="AJ9" s="315"/>
      <c r="AK9" s="315"/>
      <c r="AL9" s="316"/>
      <c r="AM9" s="316"/>
      <c r="AN9" s="316"/>
      <c r="AO9" s="316"/>
      <c r="AP9" s="316"/>
      <c r="AQ9" s="316"/>
      <c r="AR9" s="316"/>
      <c r="AS9" s="316"/>
      <c r="AT9" s="316"/>
      <c r="AU9" s="316"/>
      <c r="AV9" s="316"/>
      <c r="AW9" s="316"/>
      <c r="AX9" s="316"/>
      <c r="AY9" s="316"/>
      <c r="AZ9" s="316"/>
      <c r="BA9" s="316"/>
      <c r="BB9" s="316"/>
    </row>
    <row r="10" spans="1:54" ht="24" customHeight="1" thickBot="1">
      <c r="A10" s="137"/>
      <c r="B10" s="510" t="s">
        <v>236</v>
      </c>
      <c r="C10" s="545"/>
      <c r="D10" s="545"/>
      <c r="E10" s="545"/>
      <c r="F10" s="511"/>
      <c r="G10" s="197"/>
      <c r="H10" s="198"/>
      <c r="I10" s="198"/>
      <c r="J10" s="190"/>
      <c r="K10" s="510" t="s">
        <v>238</v>
      </c>
      <c r="L10" s="533"/>
      <c r="M10" s="533"/>
      <c r="N10" s="497"/>
      <c r="O10" s="191">
        <v>0</v>
      </c>
      <c r="P10" s="296" t="s">
        <v>237</v>
      </c>
      <c r="Q10" s="315"/>
      <c r="R10" s="315"/>
      <c r="S10" s="315"/>
      <c r="T10" s="315"/>
      <c r="U10" s="315"/>
      <c r="V10" s="315"/>
      <c r="W10" s="315"/>
      <c r="X10" s="315"/>
      <c r="Y10" s="315"/>
      <c r="Z10" s="315"/>
      <c r="AA10" s="315"/>
      <c r="AB10" s="315"/>
      <c r="AC10" s="315"/>
      <c r="AD10" s="315"/>
      <c r="AE10" s="315"/>
      <c r="AF10" s="315"/>
      <c r="AG10" s="315"/>
      <c r="AH10" s="315"/>
      <c r="AI10" s="315"/>
      <c r="AJ10" s="315"/>
      <c r="AK10" s="315"/>
      <c r="AL10" s="316"/>
      <c r="AM10" s="316"/>
      <c r="AN10" s="316"/>
      <c r="AO10" s="316"/>
      <c r="AP10" s="316"/>
      <c r="AQ10" s="316"/>
      <c r="AR10" s="316"/>
      <c r="AS10" s="316"/>
      <c r="AT10" s="316"/>
      <c r="AU10" s="316"/>
      <c r="AV10" s="316"/>
      <c r="AW10" s="316"/>
      <c r="AX10" s="316"/>
      <c r="AY10" s="316"/>
      <c r="AZ10" s="316"/>
      <c r="BA10" s="316"/>
      <c r="BB10" s="316"/>
    </row>
    <row r="11" spans="1:54" ht="3.75" customHeight="1" thickBot="1">
      <c r="A11" s="137"/>
      <c r="B11" s="435"/>
      <c r="C11" s="436"/>
      <c r="D11" s="436"/>
      <c r="E11" s="436"/>
      <c r="F11" s="436"/>
      <c r="G11" s="436"/>
      <c r="H11" s="436"/>
      <c r="I11" s="436"/>
      <c r="J11" s="436"/>
      <c r="K11" s="436"/>
      <c r="L11" s="436"/>
      <c r="M11" s="436"/>
      <c r="N11" s="436"/>
      <c r="O11" s="436"/>
      <c r="P11" s="437"/>
      <c r="Q11" s="315"/>
      <c r="R11" s="315"/>
      <c r="S11" s="315"/>
      <c r="T11" s="315"/>
      <c r="U11" s="315"/>
      <c r="V11" s="315"/>
      <c r="W11" s="315"/>
      <c r="X11" s="315"/>
      <c r="Y11" s="315"/>
      <c r="Z11" s="315"/>
      <c r="AA11" s="315"/>
      <c r="AB11" s="315"/>
      <c r="AC11" s="315"/>
      <c r="AD11" s="315"/>
      <c r="AE11" s="315"/>
      <c r="AF11" s="315"/>
      <c r="AG11" s="315"/>
      <c r="AH11" s="315"/>
      <c r="AI11" s="315"/>
      <c r="AJ11" s="315"/>
      <c r="AK11" s="315"/>
      <c r="AL11" s="316"/>
      <c r="AM11" s="316"/>
      <c r="AN11" s="316"/>
      <c r="AO11" s="316"/>
      <c r="AP11" s="316"/>
      <c r="AQ11" s="316"/>
      <c r="AR11" s="316"/>
      <c r="AS11" s="316"/>
      <c r="AT11" s="316"/>
      <c r="AU11" s="316"/>
      <c r="AV11" s="316"/>
      <c r="AW11" s="316"/>
      <c r="AX11" s="316"/>
      <c r="AY11" s="316"/>
      <c r="AZ11" s="316"/>
      <c r="BA11" s="316"/>
      <c r="BB11" s="316"/>
    </row>
    <row r="12" spans="1:54" ht="24.75" customHeight="1" thickBot="1">
      <c r="A12" s="137"/>
      <c r="B12" s="534" t="s">
        <v>245</v>
      </c>
      <c r="C12" s="535"/>
      <c r="D12" s="535"/>
      <c r="E12" s="535"/>
      <c r="F12" s="536"/>
      <c r="G12" s="530" t="str">
        <f>CONCATENATE(L79,"Years ",M79,"Months ",N79,"Days")</f>
        <v>7Years 3Months 8Days</v>
      </c>
      <c r="H12" s="531"/>
      <c r="I12" s="531"/>
      <c r="J12" s="532"/>
      <c r="K12" s="128"/>
      <c r="L12" s="128"/>
      <c r="M12" s="128"/>
      <c r="N12" s="128"/>
      <c r="O12" s="6"/>
      <c r="P12" s="138"/>
      <c r="Q12" s="315"/>
      <c r="R12" s="315"/>
      <c r="S12" s="315"/>
      <c r="T12" s="315"/>
      <c r="U12" s="315"/>
      <c r="V12" s="315"/>
      <c r="W12" s="315"/>
      <c r="X12" s="315"/>
      <c r="Y12" s="315"/>
      <c r="Z12" s="315"/>
      <c r="AA12" s="315"/>
      <c r="AB12" s="315"/>
      <c r="AC12" s="315"/>
      <c r="AD12" s="315"/>
      <c r="AE12" s="315"/>
      <c r="AF12" s="315"/>
      <c r="AG12" s="315"/>
      <c r="AH12" s="315"/>
      <c r="AI12" s="315"/>
      <c r="AJ12" s="315"/>
      <c r="AK12" s="315"/>
      <c r="AL12" s="316"/>
      <c r="AM12" s="316"/>
      <c r="AN12" s="316"/>
      <c r="AO12" s="316"/>
      <c r="AP12" s="316"/>
      <c r="AQ12" s="316"/>
      <c r="AR12" s="316"/>
      <c r="AS12" s="316"/>
      <c r="AT12" s="316"/>
      <c r="AU12" s="316"/>
      <c r="AV12" s="316"/>
      <c r="AW12" s="316"/>
      <c r="AX12" s="316"/>
      <c r="AY12" s="316"/>
      <c r="AZ12" s="316"/>
      <c r="BA12" s="316"/>
      <c r="BB12" s="316"/>
    </row>
    <row r="13" spans="1:54" ht="5.25" customHeight="1" thickBot="1">
      <c r="A13" s="137"/>
      <c r="B13" s="193"/>
      <c r="C13" s="192"/>
      <c r="D13" s="192"/>
      <c r="E13" s="192"/>
      <c r="F13" s="192"/>
      <c r="G13" s="6"/>
      <c r="H13" s="6"/>
      <c r="I13" s="6"/>
      <c r="J13" s="127"/>
      <c r="K13" s="127"/>
      <c r="L13" s="127"/>
      <c r="M13" s="127"/>
      <c r="N13" s="128"/>
      <c r="O13" s="6"/>
      <c r="P13" s="138"/>
      <c r="Q13" s="315"/>
      <c r="R13" s="315"/>
      <c r="S13" s="315"/>
      <c r="T13" s="315"/>
      <c r="U13" s="315"/>
      <c r="V13" s="315"/>
      <c r="W13" s="315"/>
      <c r="X13" s="315"/>
      <c r="Y13" s="315"/>
      <c r="Z13" s="315"/>
      <c r="AA13" s="315"/>
      <c r="AB13" s="315"/>
      <c r="AC13" s="315"/>
      <c r="AD13" s="315"/>
      <c r="AE13" s="315"/>
      <c r="AF13" s="315"/>
      <c r="AG13" s="315"/>
      <c r="AH13" s="315"/>
      <c r="AI13" s="315"/>
      <c r="AJ13" s="315"/>
      <c r="AK13" s="315"/>
      <c r="AL13" s="316"/>
      <c r="AM13" s="316"/>
      <c r="AN13" s="316"/>
      <c r="AO13" s="316"/>
      <c r="AP13" s="316"/>
      <c r="AQ13" s="316"/>
      <c r="AR13" s="316"/>
      <c r="AS13" s="316"/>
      <c r="AT13" s="316"/>
      <c r="AU13" s="316"/>
      <c r="AV13" s="316"/>
      <c r="AW13" s="316"/>
      <c r="AX13" s="316"/>
      <c r="AY13" s="316"/>
      <c r="AZ13" s="316"/>
      <c r="BA13" s="316"/>
      <c r="BB13" s="316"/>
    </row>
    <row r="14" spans="1:54" ht="23.25" customHeight="1" thickBot="1">
      <c r="A14" s="137"/>
      <c r="B14" s="458" t="s">
        <v>607</v>
      </c>
      <c r="C14" s="459"/>
      <c r="D14" s="459"/>
      <c r="E14" s="459"/>
      <c r="F14" s="460"/>
      <c r="G14" s="455" t="s">
        <v>254</v>
      </c>
      <c r="H14" s="456"/>
      <c r="I14" s="457"/>
      <c r="J14" s="458" t="s">
        <v>608</v>
      </c>
      <c r="K14" s="459"/>
      <c r="L14" s="459"/>
      <c r="M14" s="459"/>
      <c r="N14" s="460"/>
      <c r="O14" s="461" t="s">
        <v>260</v>
      </c>
      <c r="P14" s="462"/>
      <c r="Q14" s="315"/>
      <c r="R14" s="315"/>
      <c r="S14" s="315"/>
      <c r="T14" s="315"/>
      <c r="U14" s="315"/>
      <c r="V14" s="315"/>
      <c r="W14" s="315"/>
      <c r="X14" s="315"/>
      <c r="Y14" s="315"/>
      <c r="Z14" s="315"/>
      <c r="AA14" s="315"/>
      <c r="AB14" s="315"/>
      <c r="AC14" s="315"/>
      <c r="AD14" s="315"/>
      <c r="AE14" s="315"/>
      <c r="AF14" s="315"/>
      <c r="AG14" s="315"/>
      <c r="AH14" s="315"/>
      <c r="AI14" s="315"/>
      <c r="AJ14" s="315"/>
      <c r="AK14" s="315"/>
      <c r="AL14" s="316"/>
      <c r="AM14" s="316"/>
      <c r="AN14" s="316"/>
      <c r="AO14" s="316"/>
      <c r="AP14" s="316"/>
      <c r="AQ14" s="316"/>
      <c r="AR14" s="316"/>
      <c r="AS14" s="316"/>
      <c r="AT14" s="316"/>
      <c r="AU14" s="316"/>
      <c r="AV14" s="316"/>
      <c r="AW14" s="316"/>
      <c r="AX14" s="316"/>
      <c r="AY14" s="316"/>
      <c r="AZ14" s="316"/>
      <c r="BA14" s="316"/>
      <c r="BB14" s="316"/>
    </row>
    <row r="15" spans="1:54" ht="4.5" customHeight="1" thickBot="1">
      <c r="A15" s="137"/>
      <c r="B15" s="441"/>
      <c r="C15" s="442"/>
      <c r="D15" s="442"/>
      <c r="E15" s="442"/>
      <c r="F15" s="442"/>
      <c r="G15" s="442"/>
      <c r="H15" s="442"/>
      <c r="I15" s="442"/>
      <c r="J15" s="442"/>
      <c r="K15" s="442"/>
      <c r="L15" s="442"/>
      <c r="M15" s="442"/>
      <c r="N15" s="442"/>
      <c r="O15" s="442"/>
      <c r="P15" s="443"/>
      <c r="Q15" s="315"/>
      <c r="R15" s="315"/>
      <c r="S15" s="315"/>
      <c r="T15" s="315"/>
      <c r="U15" s="315"/>
      <c r="V15" s="315"/>
      <c r="W15" s="315"/>
      <c r="X15" s="315"/>
      <c r="Y15" s="315"/>
      <c r="Z15" s="315"/>
      <c r="AA15" s="315"/>
      <c r="AB15" s="315"/>
      <c r="AC15" s="315"/>
      <c r="AD15" s="315"/>
      <c r="AE15" s="315"/>
      <c r="AF15" s="315"/>
      <c r="AG15" s="315"/>
      <c r="AH15" s="315"/>
      <c r="AI15" s="315"/>
      <c r="AJ15" s="315"/>
      <c r="AK15" s="315"/>
      <c r="AL15" s="316"/>
      <c r="AM15" s="316"/>
      <c r="AN15" s="316"/>
      <c r="AO15" s="316"/>
      <c r="AP15" s="316"/>
      <c r="AQ15" s="316"/>
      <c r="AR15" s="316"/>
      <c r="AS15" s="316"/>
      <c r="AT15" s="316"/>
      <c r="AU15" s="316"/>
      <c r="AV15" s="316"/>
      <c r="AW15" s="316"/>
      <c r="AX15" s="316"/>
      <c r="AY15" s="316"/>
      <c r="AZ15" s="316"/>
      <c r="BA15" s="316"/>
      <c r="BB15" s="316"/>
    </row>
    <row r="16" spans="1:54" ht="26.25" customHeight="1" thickBot="1">
      <c r="A16" s="137"/>
      <c r="B16" s="546" t="s">
        <v>239</v>
      </c>
      <c r="C16" s="547"/>
      <c r="D16" s="548"/>
      <c r="E16" s="128"/>
      <c r="F16" s="128"/>
      <c r="G16" s="6"/>
      <c r="H16" s="439" t="s">
        <v>274</v>
      </c>
      <c r="I16" s="440" t="str">
        <f>CONCATENATE(T79,"Years")</f>
        <v>32Years</v>
      </c>
      <c r="J16" s="537" t="str">
        <f>VLOOKUP(N83,F156:H159,3,0)</f>
        <v>No Need of Departmental Tests Pass </v>
      </c>
      <c r="K16" s="538"/>
      <c r="L16" s="538"/>
      <c r="M16" s="538"/>
      <c r="N16" s="538"/>
      <c r="O16" s="538"/>
      <c r="P16" s="539"/>
      <c r="Q16" s="315"/>
      <c r="R16" s="315"/>
      <c r="S16" s="315"/>
      <c r="T16" s="315"/>
      <c r="U16" s="315"/>
      <c r="V16" s="315"/>
      <c r="W16" s="315"/>
      <c r="X16" s="315"/>
      <c r="Y16" s="315"/>
      <c r="Z16" s="315"/>
      <c r="AA16" s="315"/>
      <c r="AB16" s="315"/>
      <c r="AC16" s="315"/>
      <c r="AD16" s="315"/>
      <c r="AE16" s="315"/>
      <c r="AF16" s="315"/>
      <c r="AG16" s="315"/>
      <c r="AH16" s="315"/>
      <c r="AI16" s="315"/>
      <c r="AJ16" s="315"/>
      <c r="AK16" s="315"/>
      <c r="AL16" s="316"/>
      <c r="AM16" s="316"/>
      <c r="AN16" s="316"/>
      <c r="AO16" s="316"/>
      <c r="AP16" s="316"/>
      <c r="AQ16" s="316"/>
      <c r="AR16" s="316"/>
      <c r="AS16" s="316"/>
      <c r="AT16" s="316"/>
      <c r="AU16" s="316"/>
      <c r="AV16" s="316"/>
      <c r="AW16" s="316"/>
      <c r="AX16" s="316"/>
      <c r="AY16" s="316"/>
      <c r="AZ16" s="316"/>
      <c r="BA16" s="316"/>
      <c r="BB16" s="316"/>
    </row>
    <row r="17" spans="1:54" ht="4.5" customHeight="1" thickBot="1">
      <c r="A17" s="137"/>
      <c r="B17" s="199"/>
      <c r="C17" s="135"/>
      <c r="D17" s="135"/>
      <c r="E17" s="128"/>
      <c r="F17" s="128"/>
      <c r="G17" s="6"/>
      <c r="H17" s="135"/>
      <c r="I17" s="135"/>
      <c r="J17" s="135"/>
      <c r="K17" s="143"/>
      <c r="L17" s="143"/>
      <c r="M17" s="194"/>
      <c r="N17" s="194"/>
      <c r="O17" s="194"/>
      <c r="P17" s="144"/>
      <c r="Q17" s="315"/>
      <c r="R17" s="315"/>
      <c r="S17" s="315"/>
      <c r="T17" s="315"/>
      <c r="U17" s="315"/>
      <c r="V17" s="315"/>
      <c r="W17" s="315"/>
      <c r="X17" s="315"/>
      <c r="Y17" s="315"/>
      <c r="Z17" s="315"/>
      <c r="AA17" s="315"/>
      <c r="AB17" s="315"/>
      <c r="AC17" s="315"/>
      <c r="AD17" s="315"/>
      <c r="AE17" s="315"/>
      <c r="AF17" s="315"/>
      <c r="AG17" s="315"/>
      <c r="AH17" s="315"/>
      <c r="AI17" s="315"/>
      <c r="AJ17" s="315"/>
      <c r="AK17" s="315"/>
      <c r="AL17" s="316"/>
      <c r="AM17" s="316"/>
      <c r="AN17" s="316"/>
      <c r="AO17" s="316"/>
      <c r="AP17" s="316"/>
      <c r="AQ17" s="316"/>
      <c r="AR17" s="316"/>
      <c r="AS17" s="316"/>
      <c r="AT17" s="316"/>
      <c r="AU17" s="316"/>
      <c r="AV17" s="316"/>
      <c r="AW17" s="316"/>
      <c r="AX17" s="316"/>
      <c r="AY17" s="316"/>
      <c r="AZ17" s="316"/>
      <c r="BA17" s="316"/>
      <c r="BB17" s="316"/>
    </row>
    <row r="18" spans="1:54" ht="28.5" customHeight="1" thickBot="1">
      <c r="A18" s="137"/>
      <c r="B18" s="543" t="str">
        <f>CONCATENATE("Are you Acquires the Required Qualifications to ",O83," before")</f>
        <v>Are you Acquires the Required Qualifications to SG before</v>
      </c>
      <c r="C18" s="544"/>
      <c r="D18" s="544"/>
      <c r="E18" s="544"/>
      <c r="F18" s="544"/>
      <c r="G18" s="555" t="str">
        <f>U87</f>
        <v>1/2/2010</v>
      </c>
      <c r="H18" s="556"/>
      <c r="I18" s="463">
        <f>IF(R90=1,"","Mention Date of Acquires the                                                Required Qualification")</f>
      </c>
      <c r="J18" s="464"/>
      <c r="K18" s="464"/>
      <c r="L18" s="464"/>
      <c r="M18" s="465"/>
      <c r="N18" s="201"/>
      <c r="O18" s="201"/>
      <c r="P18" s="202"/>
      <c r="Q18" s="315"/>
      <c r="R18" s="315"/>
      <c r="S18" s="315"/>
      <c r="T18" s="315"/>
      <c r="U18" s="315"/>
      <c r="V18" s="315"/>
      <c r="W18" s="315"/>
      <c r="X18" s="315"/>
      <c r="Y18" s="315"/>
      <c r="Z18" s="315"/>
      <c r="AA18" s="315"/>
      <c r="AB18" s="315"/>
      <c r="AC18" s="315"/>
      <c r="AD18" s="315"/>
      <c r="AE18" s="315"/>
      <c r="AF18" s="315"/>
      <c r="AG18" s="315"/>
      <c r="AH18" s="315"/>
      <c r="AI18" s="315"/>
      <c r="AJ18" s="315"/>
      <c r="AK18" s="315"/>
      <c r="AL18" s="316"/>
      <c r="AM18" s="316"/>
      <c r="AN18" s="316"/>
      <c r="AO18" s="316"/>
      <c r="AP18" s="316"/>
      <c r="AQ18" s="316"/>
      <c r="AR18" s="316"/>
      <c r="AS18" s="316"/>
      <c r="AT18" s="316"/>
      <c r="AU18" s="316"/>
      <c r="AV18" s="316"/>
      <c r="AW18" s="316"/>
      <c r="AX18" s="316"/>
      <c r="AY18" s="316"/>
      <c r="AZ18" s="316"/>
      <c r="BA18" s="316"/>
      <c r="BB18" s="316"/>
    </row>
    <row r="19" spans="1:54" ht="4.5" customHeight="1" thickBot="1">
      <c r="A19" s="137"/>
      <c r="B19" s="199"/>
      <c r="C19" s="135"/>
      <c r="D19" s="135"/>
      <c r="E19" s="128"/>
      <c r="F19" s="128"/>
      <c r="G19" s="6"/>
      <c r="H19" s="135"/>
      <c r="I19" s="135"/>
      <c r="J19" s="135"/>
      <c r="K19" s="128"/>
      <c r="L19" s="128"/>
      <c r="M19" s="194"/>
      <c r="N19" s="194"/>
      <c r="O19" s="194"/>
      <c r="P19" s="203"/>
      <c r="Q19" s="315"/>
      <c r="R19" s="315"/>
      <c r="S19" s="315"/>
      <c r="T19" s="315"/>
      <c r="U19" s="315"/>
      <c r="V19" s="315"/>
      <c r="W19" s="315"/>
      <c r="X19" s="315"/>
      <c r="Y19" s="315"/>
      <c r="Z19" s="315"/>
      <c r="AA19" s="315"/>
      <c r="AB19" s="315"/>
      <c r="AC19" s="315"/>
      <c r="AD19" s="315"/>
      <c r="AE19" s="315"/>
      <c r="AF19" s="315"/>
      <c r="AG19" s="315"/>
      <c r="AH19" s="315"/>
      <c r="AI19" s="315"/>
      <c r="AJ19" s="315"/>
      <c r="AK19" s="315"/>
      <c r="AL19" s="316"/>
      <c r="AM19" s="316"/>
      <c r="AN19" s="316"/>
      <c r="AO19" s="316"/>
      <c r="AP19" s="316"/>
      <c r="AQ19" s="316"/>
      <c r="AR19" s="316"/>
      <c r="AS19" s="316"/>
      <c r="AT19" s="316"/>
      <c r="AU19" s="316"/>
      <c r="AV19" s="316"/>
      <c r="AW19" s="316"/>
      <c r="AX19" s="316"/>
      <c r="AY19" s="316"/>
      <c r="AZ19" s="316"/>
      <c r="BA19" s="316"/>
      <c r="BB19" s="316"/>
    </row>
    <row r="20" spans="1:54" ht="29.25" customHeight="1" thickBot="1">
      <c r="A20" s="137"/>
      <c r="B20" s="483" t="s">
        <v>609</v>
      </c>
      <c r="C20" s="484"/>
      <c r="D20" s="484"/>
      <c r="E20" s="484"/>
      <c r="F20" s="484"/>
      <c r="G20" s="484"/>
      <c r="H20" s="485"/>
      <c r="I20" s="204"/>
      <c r="J20" s="204"/>
      <c r="K20" s="458" t="str">
        <f>CONCATENATE("Scale of Pay in ",O83,)</f>
        <v>Scale of Pay in SG</v>
      </c>
      <c r="L20" s="459"/>
      <c r="M20" s="459"/>
      <c r="N20" s="460"/>
      <c r="O20" s="444"/>
      <c r="P20" s="445"/>
      <c r="Q20" s="438"/>
      <c r="R20" s="315"/>
      <c r="S20" s="315"/>
      <c r="T20" s="315"/>
      <c r="U20" s="315"/>
      <c r="V20" s="315"/>
      <c r="W20" s="315"/>
      <c r="X20" s="315"/>
      <c r="Y20" s="315"/>
      <c r="Z20" s="315"/>
      <c r="AA20" s="315"/>
      <c r="AB20" s="315"/>
      <c r="AC20" s="315"/>
      <c r="AD20" s="315"/>
      <c r="AE20" s="315"/>
      <c r="AF20" s="315"/>
      <c r="AG20" s="315"/>
      <c r="AH20" s="315"/>
      <c r="AI20" s="315"/>
      <c r="AJ20" s="315"/>
      <c r="AK20" s="315"/>
      <c r="AL20" s="316"/>
      <c r="AM20" s="316"/>
      <c r="AN20" s="316"/>
      <c r="AO20" s="316"/>
      <c r="AP20" s="316"/>
      <c r="AQ20" s="316"/>
      <c r="AR20" s="316"/>
      <c r="AS20" s="316"/>
      <c r="AT20" s="316"/>
      <c r="AU20" s="316"/>
      <c r="AV20" s="316"/>
      <c r="AW20" s="316"/>
      <c r="AX20" s="316"/>
      <c r="AY20" s="316"/>
      <c r="AZ20" s="316"/>
      <c r="BA20" s="316"/>
      <c r="BB20" s="316"/>
    </row>
    <row r="21" spans="1:54" ht="6.75" customHeight="1" thickBot="1">
      <c r="A21" s="137"/>
      <c r="B21" s="199"/>
      <c r="C21" s="135"/>
      <c r="D21" s="135"/>
      <c r="E21" s="128"/>
      <c r="F21" s="128"/>
      <c r="G21" s="6"/>
      <c r="H21" s="135"/>
      <c r="I21" s="135"/>
      <c r="J21" s="135"/>
      <c r="K21" s="128"/>
      <c r="L21" s="128"/>
      <c r="M21" s="194"/>
      <c r="N21" s="194"/>
      <c r="O21" s="194"/>
      <c r="P21" s="203"/>
      <c r="Q21" s="315"/>
      <c r="R21" s="315"/>
      <c r="S21" s="315"/>
      <c r="T21" s="315"/>
      <c r="U21" s="315"/>
      <c r="V21" s="315"/>
      <c r="W21" s="315"/>
      <c r="X21" s="315"/>
      <c r="Y21" s="315"/>
      <c r="Z21" s="315"/>
      <c r="AA21" s="315"/>
      <c r="AB21" s="315"/>
      <c r="AC21" s="315"/>
      <c r="AD21" s="315"/>
      <c r="AE21" s="315"/>
      <c r="AF21" s="315"/>
      <c r="AG21" s="315"/>
      <c r="AH21" s="315"/>
      <c r="AI21" s="315"/>
      <c r="AJ21" s="315"/>
      <c r="AK21" s="315"/>
      <c r="AL21" s="316"/>
      <c r="AM21" s="316"/>
      <c r="AN21" s="316"/>
      <c r="AO21" s="316"/>
      <c r="AP21" s="316"/>
      <c r="AQ21" s="316"/>
      <c r="AR21" s="316"/>
      <c r="AS21" s="316"/>
      <c r="AT21" s="316"/>
      <c r="AU21" s="316"/>
      <c r="AV21" s="316"/>
      <c r="AW21" s="316"/>
      <c r="AX21" s="316"/>
      <c r="AY21" s="316"/>
      <c r="AZ21" s="316"/>
      <c r="BA21" s="316"/>
      <c r="BB21" s="316"/>
    </row>
    <row r="22" spans="1:54" ht="24" customHeight="1" thickBot="1">
      <c r="A22" s="137"/>
      <c r="B22" s="594" t="s">
        <v>275</v>
      </c>
      <c r="C22" s="595"/>
      <c r="D22" s="540" t="str">
        <f>R84</f>
        <v>1/2/2010</v>
      </c>
      <c r="E22" s="541"/>
      <c r="F22" s="542"/>
      <c r="G22" s="583">
        <v>10020</v>
      </c>
      <c r="H22" s="584"/>
      <c r="I22" s="204" t="s">
        <v>276</v>
      </c>
      <c r="J22" s="205"/>
      <c r="K22" s="585" t="s">
        <v>277</v>
      </c>
      <c r="L22" s="586"/>
      <c r="M22" s="206">
        <v>0</v>
      </c>
      <c r="N22" s="510" t="s">
        <v>41</v>
      </c>
      <c r="O22" s="511"/>
      <c r="P22" s="386" t="s">
        <v>617</v>
      </c>
      <c r="Q22" s="315"/>
      <c r="R22" s="315"/>
      <c r="S22" s="315"/>
      <c r="T22" s="315"/>
      <c r="U22" s="315"/>
      <c r="V22" s="315"/>
      <c r="W22" s="315"/>
      <c r="X22" s="315"/>
      <c r="Y22" s="315"/>
      <c r="Z22" s="315"/>
      <c r="AA22" s="315"/>
      <c r="AB22" s="315"/>
      <c r="AC22" s="315"/>
      <c r="AD22" s="315"/>
      <c r="AE22" s="315"/>
      <c r="AF22" s="315"/>
      <c r="AG22" s="315"/>
      <c r="AH22" s="315"/>
      <c r="AI22" s="315"/>
      <c r="AJ22" s="315"/>
      <c r="AK22" s="315"/>
      <c r="AL22" s="316"/>
      <c r="AM22" s="316"/>
      <c r="AN22" s="316"/>
      <c r="AO22" s="316"/>
      <c r="AP22" s="316"/>
      <c r="AQ22" s="316"/>
      <c r="AR22" s="316"/>
      <c r="AS22" s="316"/>
      <c r="AT22" s="316"/>
      <c r="AU22" s="316"/>
      <c r="AV22" s="316"/>
      <c r="AW22" s="316"/>
      <c r="AX22" s="316"/>
      <c r="AY22" s="316"/>
      <c r="AZ22" s="316"/>
      <c r="BA22" s="316"/>
      <c r="BB22" s="316"/>
    </row>
    <row r="23" spans="1:54" ht="4.5" customHeight="1" thickBot="1">
      <c r="A23" s="137"/>
      <c r="B23" s="200"/>
      <c r="C23" s="143"/>
      <c r="D23" s="143"/>
      <c r="E23" s="143"/>
      <c r="F23" s="143"/>
      <c r="G23" s="143"/>
      <c r="H23" s="143"/>
      <c r="I23" s="143"/>
      <c r="J23" s="143"/>
      <c r="K23" s="143"/>
      <c r="L23" s="143"/>
      <c r="M23" s="143"/>
      <c r="N23" s="143"/>
      <c r="O23" s="143"/>
      <c r="P23" s="144"/>
      <c r="Q23" s="315"/>
      <c r="R23" s="315"/>
      <c r="S23" s="315"/>
      <c r="T23" s="315"/>
      <c r="U23" s="315"/>
      <c r="V23" s="315"/>
      <c r="W23" s="315"/>
      <c r="X23" s="315"/>
      <c r="Y23" s="315"/>
      <c r="Z23" s="315"/>
      <c r="AA23" s="315"/>
      <c r="AB23" s="315"/>
      <c r="AC23" s="315"/>
      <c r="AD23" s="315"/>
      <c r="AE23" s="315"/>
      <c r="AF23" s="315"/>
      <c r="AG23" s="315"/>
      <c r="AH23" s="315"/>
      <c r="AI23" s="315"/>
      <c r="AJ23" s="315"/>
      <c r="AK23" s="315"/>
      <c r="AL23" s="316"/>
      <c r="AM23" s="316"/>
      <c r="AN23" s="316"/>
      <c r="AO23" s="316"/>
      <c r="AP23" s="316"/>
      <c r="AQ23" s="316"/>
      <c r="AR23" s="316"/>
      <c r="AS23" s="316"/>
      <c r="AT23" s="316"/>
      <c r="AU23" s="316"/>
      <c r="AV23" s="316"/>
      <c r="AW23" s="316"/>
      <c r="AX23" s="316"/>
      <c r="AY23" s="316"/>
      <c r="AZ23" s="316"/>
      <c r="BA23" s="316"/>
      <c r="BB23" s="316"/>
    </row>
    <row r="24" spans="1:54" ht="27.75" customHeight="1" thickBot="1">
      <c r="A24" s="137"/>
      <c r="B24" s="557" t="s">
        <v>286</v>
      </c>
      <c r="C24" s="558"/>
      <c r="D24" s="558"/>
      <c r="E24" s="558"/>
      <c r="F24" s="558"/>
      <c r="G24" s="576" t="str">
        <f>D22</f>
        <v>1/2/2010</v>
      </c>
      <c r="H24" s="577"/>
      <c r="I24" s="578"/>
      <c r="J24" s="579" t="s">
        <v>229</v>
      </c>
      <c r="K24" s="580"/>
      <c r="L24" s="580"/>
      <c r="M24" s="580"/>
      <c r="N24" s="580"/>
      <c r="O24" s="580"/>
      <c r="P24" s="581"/>
      <c r="Q24" s="315"/>
      <c r="R24" s="315"/>
      <c r="S24" s="315"/>
      <c r="T24" s="315"/>
      <c r="U24" s="315"/>
      <c r="V24" s="315"/>
      <c r="W24" s="315"/>
      <c r="X24" s="315"/>
      <c r="Y24" s="315"/>
      <c r="Z24" s="315"/>
      <c r="AA24" s="315"/>
      <c r="AB24" s="315"/>
      <c r="AC24" s="315"/>
      <c r="AD24" s="315"/>
      <c r="AE24" s="315"/>
      <c r="AF24" s="315"/>
      <c r="AG24" s="315"/>
      <c r="AH24" s="315"/>
      <c r="AI24" s="315"/>
      <c r="AJ24" s="315"/>
      <c r="AK24" s="315"/>
      <c r="AL24" s="316"/>
      <c r="AM24" s="316"/>
      <c r="AN24" s="316"/>
      <c r="AO24" s="316"/>
      <c r="AP24" s="316"/>
      <c r="AQ24" s="316"/>
      <c r="AR24" s="316"/>
      <c r="AS24" s="316"/>
      <c r="AT24" s="316"/>
      <c r="AU24" s="316"/>
      <c r="AV24" s="316"/>
      <c r="AW24" s="316"/>
      <c r="AX24" s="316"/>
      <c r="AY24" s="316"/>
      <c r="AZ24" s="316"/>
      <c r="BA24" s="316"/>
      <c r="BB24" s="316"/>
    </row>
    <row r="25" spans="1:121" s="146" customFormat="1" ht="21" customHeight="1" thickBot="1">
      <c r="A25" s="137"/>
      <c r="B25" s="495" t="s">
        <v>26</v>
      </c>
      <c r="C25" s="551" t="str">
        <f>CONCATENATE("Already Drawn Due to After ",D22)</f>
        <v>Already Drawn Due to After 1/2/2010</v>
      </c>
      <c r="D25" s="552"/>
      <c r="E25" s="572" t="s">
        <v>581</v>
      </c>
      <c r="F25" s="593"/>
      <c r="G25" s="593"/>
      <c r="H25" s="573"/>
      <c r="I25" s="468" t="s">
        <v>558</v>
      </c>
      <c r="J25" s="308"/>
      <c r="K25" s="309"/>
      <c r="L25" s="309"/>
      <c r="M25" s="309"/>
      <c r="N25" s="518" t="s">
        <v>234</v>
      </c>
      <c r="O25" s="518"/>
      <c r="P25" s="519"/>
      <c r="Q25" s="315"/>
      <c r="R25" s="315"/>
      <c r="S25" s="315"/>
      <c r="T25" s="315"/>
      <c r="U25" s="315"/>
      <c r="V25" s="315"/>
      <c r="W25" s="315"/>
      <c r="X25" s="315"/>
      <c r="Y25" s="315"/>
      <c r="Z25" s="315"/>
      <c r="AA25" s="315"/>
      <c r="AB25" s="315"/>
      <c r="AC25" s="315"/>
      <c r="AD25" s="315"/>
      <c r="AE25" s="315"/>
      <c r="AF25" s="315"/>
      <c r="AG25" s="315"/>
      <c r="AH25" s="315"/>
      <c r="AI25" s="315"/>
      <c r="AJ25" s="315"/>
      <c r="AK25" s="315"/>
      <c r="AL25" s="316"/>
      <c r="AM25" s="316"/>
      <c r="AN25" s="316"/>
      <c r="AO25" s="316"/>
      <c r="AP25" s="316"/>
      <c r="AQ25" s="316"/>
      <c r="AR25" s="316"/>
      <c r="AS25" s="316"/>
      <c r="AT25" s="316"/>
      <c r="AU25" s="316"/>
      <c r="AV25" s="316"/>
      <c r="AW25" s="316"/>
      <c r="AX25" s="316"/>
      <c r="AY25" s="316"/>
      <c r="AZ25" s="316"/>
      <c r="BA25" s="316"/>
      <c r="BB25" s="316"/>
      <c r="BC25" s="330"/>
      <c r="BD25" s="330"/>
      <c r="BE25" s="330"/>
      <c r="BF25" s="330"/>
      <c r="BG25" s="330"/>
      <c r="BH25" s="330"/>
      <c r="BI25" s="330"/>
      <c r="BJ25" s="330"/>
      <c r="BK25" s="330"/>
      <c r="BL25" s="330"/>
      <c r="BM25" s="330"/>
      <c r="BN25" s="330"/>
      <c r="BO25" s="330"/>
      <c r="BP25" s="330"/>
      <c r="BQ25" s="330"/>
      <c r="BR25" s="330"/>
      <c r="BS25" s="330"/>
      <c r="BT25" s="330"/>
      <c r="BU25" s="330"/>
      <c r="BV25" s="330"/>
      <c r="BW25" s="330"/>
      <c r="BX25" s="330"/>
      <c r="BY25" s="330"/>
      <c r="BZ25" s="330"/>
      <c r="CA25" s="330"/>
      <c r="CB25" s="330"/>
      <c r="CC25" s="330"/>
      <c r="CD25" s="330"/>
      <c r="CE25" s="330"/>
      <c r="CF25" s="330"/>
      <c r="CG25" s="330"/>
      <c r="CH25" s="330"/>
      <c r="CI25" s="330"/>
      <c r="CJ25" s="330"/>
      <c r="CK25" s="330"/>
      <c r="CL25" s="330"/>
      <c r="CM25" s="330"/>
      <c r="CN25" s="330"/>
      <c r="CO25" s="330"/>
      <c r="CP25" s="330"/>
      <c r="CQ25" s="330"/>
      <c r="CR25" s="330"/>
      <c r="CS25" s="330"/>
      <c r="CT25" s="330"/>
      <c r="CU25" s="330"/>
      <c r="CV25" s="330"/>
      <c r="CW25" s="330"/>
      <c r="CX25" s="330"/>
      <c r="CY25" s="330"/>
      <c r="CZ25" s="330"/>
      <c r="DA25" s="330"/>
      <c r="DB25" s="330"/>
      <c r="DC25" s="330"/>
      <c r="DD25" s="330"/>
      <c r="DE25" s="330"/>
      <c r="DF25" s="331"/>
      <c r="DG25" s="330"/>
      <c r="DH25" s="330"/>
      <c r="DI25" s="332"/>
      <c r="DJ25" s="330"/>
      <c r="DK25" s="330"/>
      <c r="DL25" s="330"/>
      <c r="DM25" s="330"/>
      <c r="DN25" s="330"/>
      <c r="DO25" s="330"/>
      <c r="DP25" s="330"/>
      <c r="DQ25" s="330"/>
    </row>
    <row r="26" spans="1:121" s="146" customFormat="1" ht="22.5" customHeight="1" thickBot="1">
      <c r="A26" s="137"/>
      <c r="B26" s="496"/>
      <c r="C26" s="553"/>
      <c r="D26" s="554"/>
      <c r="E26" s="424" t="s">
        <v>46</v>
      </c>
      <c r="F26" s="425" t="s">
        <v>47</v>
      </c>
      <c r="G26" s="572" t="s">
        <v>48</v>
      </c>
      <c r="H26" s="573"/>
      <c r="I26" s="469"/>
      <c r="J26" s="308"/>
      <c r="K26" s="309"/>
      <c r="L26" s="309"/>
      <c r="M26" s="309"/>
      <c r="N26" s="518"/>
      <c r="O26" s="518"/>
      <c r="P26" s="519"/>
      <c r="Q26" s="315"/>
      <c r="R26" s="315"/>
      <c r="S26" s="315"/>
      <c r="T26" s="315"/>
      <c r="U26" s="315"/>
      <c r="V26" s="315"/>
      <c r="W26" s="315"/>
      <c r="X26" s="315"/>
      <c r="Y26" s="315"/>
      <c r="Z26" s="315"/>
      <c r="AA26" s="315"/>
      <c r="AB26" s="315"/>
      <c r="AC26" s="315"/>
      <c r="AD26" s="315"/>
      <c r="AE26" s="315"/>
      <c r="AF26" s="315"/>
      <c r="AG26" s="315"/>
      <c r="AH26" s="315"/>
      <c r="AI26" s="315"/>
      <c r="AJ26" s="315"/>
      <c r="AK26" s="315"/>
      <c r="AL26" s="316"/>
      <c r="AM26" s="316"/>
      <c r="AN26" s="316"/>
      <c r="AO26" s="316"/>
      <c r="AP26" s="316"/>
      <c r="AQ26" s="316"/>
      <c r="AR26" s="316"/>
      <c r="AS26" s="316"/>
      <c r="AT26" s="316"/>
      <c r="AU26" s="316"/>
      <c r="AV26" s="316"/>
      <c r="AW26" s="316"/>
      <c r="AX26" s="316"/>
      <c r="AY26" s="316"/>
      <c r="AZ26" s="316"/>
      <c r="BA26" s="316"/>
      <c r="BB26" s="316"/>
      <c r="BC26" s="330"/>
      <c r="BD26" s="330"/>
      <c r="BE26" s="330"/>
      <c r="BF26" s="330"/>
      <c r="BG26" s="330"/>
      <c r="BH26" s="330"/>
      <c r="BI26" s="330"/>
      <c r="BJ26" s="330"/>
      <c r="BK26" s="330"/>
      <c r="BL26" s="330"/>
      <c r="BM26" s="330"/>
      <c r="BN26" s="330"/>
      <c r="BO26" s="330"/>
      <c r="BP26" s="330"/>
      <c r="BQ26" s="330"/>
      <c r="BR26" s="330"/>
      <c r="BS26" s="330"/>
      <c r="BT26" s="330"/>
      <c r="BU26" s="330"/>
      <c r="BV26" s="330"/>
      <c r="BW26" s="330"/>
      <c r="BX26" s="330"/>
      <c r="BY26" s="330"/>
      <c r="BZ26" s="330"/>
      <c r="CA26" s="330"/>
      <c r="CB26" s="330"/>
      <c r="CC26" s="330"/>
      <c r="CD26" s="330"/>
      <c r="CE26" s="330"/>
      <c r="CF26" s="330"/>
      <c r="CG26" s="330"/>
      <c r="CH26" s="330"/>
      <c r="CI26" s="330"/>
      <c r="CJ26" s="330"/>
      <c r="CK26" s="330"/>
      <c r="CL26" s="330"/>
      <c r="CM26" s="330"/>
      <c r="CN26" s="330"/>
      <c r="CO26" s="330"/>
      <c r="CP26" s="330"/>
      <c r="CQ26" s="330"/>
      <c r="CR26" s="330"/>
      <c r="CS26" s="330"/>
      <c r="CT26" s="330"/>
      <c r="CU26" s="330"/>
      <c r="CV26" s="330"/>
      <c r="CW26" s="330"/>
      <c r="CX26" s="330"/>
      <c r="CY26" s="330"/>
      <c r="CZ26" s="330"/>
      <c r="DA26" s="330"/>
      <c r="DB26" s="330"/>
      <c r="DC26" s="330"/>
      <c r="DD26" s="330"/>
      <c r="DE26" s="330"/>
      <c r="DF26" s="331"/>
      <c r="DG26" s="330"/>
      <c r="DH26" s="330"/>
      <c r="DI26" s="332"/>
      <c r="DJ26" s="330"/>
      <c r="DK26" s="330"/>
      <c r="DL26" s="330"/>
      <c r="DM26" s="330"/>
      <c r="DN26" s="330"/>
      <c r="DO26" s="330"/>
      <c r="DP26" s="330"/>
      <c r="DQ26" s="330"/>
    </row>
    <row r="27" spans="1:54" ht="24.75" customHeight="1" thickBot="1">
      <c r="A27" s="137"/>
      <c r="B27" s="426">
        <v>1</v>
      </c>
      <c r="C27" s="427"/>
      <c r="D27" s="428"/>
      <c r="E27" s="429">
        <v>1</v>
      </c>
      <c r="F27" s="430">
        <v>10</v>
      </c>
      <c r="G27" s="523">
        <f>2009+O172</f>
        <v>2010</v>
      </c>
      <c r="H27" s="524"/>
      <c r="I27" s="469"/>
      <c r="J27" s="310"/>
      <c r="K27" s="304"/>
      <c r="L27" s="304"/>
      <c r="M27" s="304"/>
      <c r="N27" s="518"/>
      <c r="O27" s="518"/>
      <c r="P27" s="519"/>
      <c r="Q27" s="315"/>
      <c r="R27" s="315"/>
      <c r="S27" s="315"/>
      <c r="T27" s="315"/>
      <c r="U27" s="315"/>
      <c r="V27" s="315"/>
      <c r="W27" s="315"/>
      <c r="X27" s="315"/>
      <c r="Y27" s="315"/>
      <c r="Z27" s="315"/>
      <c r="AA27" s="315"/>
      <c r="AB27" s="315"/>
      <c r="AC27" s="315"/>
      <c r="AD27" s="315"/>
      <c r="AE27" s="315"/>
      <c r="AF27" s="315"/>
      <c r="AG27" s="315"/>
      <c r="AH27" s="315"/>
      <c r="AI27" s="315"/>
      <c r="AJ27" s="315"/>
      <c r="AK27" s="315"/>
      <c r="AL27" s="316"/>
      <c r="AM27" s="316"/>
      <c r="AN27" s="316"/>
      <c r="AO27" s="316"/>
      <c r="AP27" s="316"/>
      <c r="AQ27" s="316"/>
      <c r="AR27" s="316"/>
      <c r="AS27" s="316"/>
      <c r="AT27" s="316"/>
      <c r="AU27" s="316"/>
      <c r="AV27" s="316"/>
      <c r="AW27" s="316"/>
      <c r="AX27" s="316"/>
      <c r="AY27" s="316"/>
      <c r="AZ27" s="316"/>
      <c r="BA27" s="316"/>
      <c r="BB27" s="316"/>
    </row>
    <row r="28" spans="1:54" ht="24.75" customHeight="1" thickBot="1">
      <c r="A28" s="137"/>
      <c r="B28" s="426">
        <v>2</v>
      </c>
      <c r="C28" s="427"/>
      <c r="D28" s="428"/>
      <c r="E28" s="429">
        <v>17</v>
      </c>
      <c r="F28" s="431">
        <v>10</v>
      </c>
      <c r="G28" s="523">
        <f>2009+O173</f>
        <v>2010</v>
      </c>
      <c r="H28" s="524"/>
      <c r="I28" s="469"/>
      <c r="J28" s="310"/>
      <c r="K28" s="304"/>
      <c r="L28" s="304"/>
      <c r="M28" s="304"/>
      <c r="N28" s="518"/>
      <c r="O28" s="518"/>
      <c r="P28" s="519"/>
      <c r="Q28" s="315"/>
      <c r="R28" s="315"/>
      <c r="S28" s="315"/>
      <c r="T28" s="315"/>
      <c r="U28" s="315"/>
      <c r="V28" s="315"/>
      <c r="W28" s="315"/>
      <c r="X28" s="315"/>
      <c r="Y28" s="315"/>
      <c r="Z28" s="315"/>
      <c r="AA28" s="315"/>
      <c r="AB28" s="315"/>
      <c r="AC28" s="315"/>
      <c r="AD28" s="315"/>
      <c r="AE28" s="315"/>
      <c r="AF28" s="315"/>
      <c r="AG28" s="315"/>
      <c r="AH28" s="315"/>
      <c r="AI28" s="315"/>
      <c r="AJ28" s="315"/>
      <c r="AK28" s="315"/>
      <c r="AL28" s="316"/>
      <c r="AM28" s="316"/>
      <c r="AN28" s="316"/>
      <c r="AO28" s="316"/>
      <c r="AP28" s="316"/>
      <c r="AQ28" s="316"/>
      <c r="AR28" s="316"/>
      <c r="AS28" s="316"/>
      <c r="AT28" s="316"/>
      <c r="AU28" s="316"/>
      <c r="AV28" s="316"/>
      <c r="AW28" s="316"/>
      <c r="AX28" s="316"/>
      <c r="AY28" s="316"/>
      <c r="AZ28" s="316"/>
      <c r="BA28" s="316"/>
      <c r="BB28" s="316"/>
    </row>
    <row r="29" spans="1:54" ht="24.75" customHeight="1" thickBot="1">
      <c r="A29" s="137"/>
      <c r="B29" s="426">
        <v>3</v>
      </c>
      <c r="C29" s="427"/>
      <c r="D29" s="428"/>
      <c r="E29" s="432">
        <v>1</v>
      </c>
      <c r="F29" s="431">
        <v>4</v>
      </c>
      <c r="G29" s="523">
        <f>2009+O174</f>
        <v>2011</v>
      </c>
      <c r="H29" s="524"/>
      <c r="I29" s="469"/>
      <c r="J29" s="310"/>
      <c r="K29" s="304"/>
      <c r="L29" s="304"/>
      <c r="M29" s="304"/>
      <c r="N29" s="518"/>
      <c r="O29" s="518"/>
      <c r="P29" s="519"/>
      <c r="Q29" s="315"/>
      <c r="R29" s="315"/>
      <c r="S29" s="315"/>
      <c r="T29" s="315"/>
      <c r="U29" s="315"/>
      <c r="V29" s="315"/>
      <c r="W29" s="315"/>
      <c r="X29" s="315"/>
      <c r="Y29" s="315"/>
      <c r="Z29" s="315"/>
      <c r="AA29" s="315"/>
      <c r="AB29" s="315"/>
      <c r="AC29" s="315"/>
      <c r="AD29" s="315"/>
      <c r="AE29" s="315"/>
      <c r="AF29" s="315"/>
      <c r="AG29" s="315"/>
      <c r="AH29" s="315"/>
      <c r="AI29" s="315"/>
      <c r="AJ29" s="315"/>
      <c r="AK29" s="315"/>
      <c r="AL29" s="316"/>
      <c r="AM29" s="316"/>
      <c r="AN29" s="316"/>
      <c r="AO29" s="316"/>
      <c r="AP29" s="316"/>
      <c r="AQ29" s="316"/>
      <c r="AR29" s="316"/>
      <c r="AS29" s="316"/>
      <c r="AT29" s="316"/>
      <c r="AU29" s="316"/>
      <c r="AV29" s="316"/>
      <c r="AW29" s="316"/>
      <c r="AX29" s="316"/>
      <c r="AY29" s="316"/>
      <c r="AZ29" s="316"/>
      <c r="BA29" s="316"/>
      <c r="BB29" s="316"/>
    </row>
    <row r="30" spans="1:121" s="148" customFormat="1" ht="24.75" customHeight="1" thickBot="1">
      <c r="A30" s="137"/>
      <c r="B30" s="426">
        <v>4</v>
      </c>
      <c r="C30" s="427"/>
      <c r="D30" s="428"/>
      <c r="E30" s="432">
        <v>1</v>
      </c>
      <c r="F30" s="431">
        <v>3</v>
      </c>
      <c r="G30" s="523">
        <f>2009+O175</f>
        <v>2011</v>
      </c>
      <c r="H30" s="524"/>
      <c r="I30" s="469"/>
      <c r="J30" s="506" t="s">
        <v>21</v>
      </c>
      <c r="K30" s="507"/>
      <c r="L30" s="504"/>
      <c r="M30" s="466" t="s">
        <v>364</v>
      </c>
      <c r="N30" s="467"/>
      <c r="O30" s="150"/>
      <c r="P30" s="150"/>
      <c r="Q30" s="333"/>
      <c r="R30" s="315"/>
      <c r="S30" s="315"/>
      <c r="T30" s="315"/>
      <c r="U30" s="315"/>
      <c r="V30" s="315"/>
      <c r="W30" s="315"/>
      <c r="X30" s="315"/>
      <c r="Y30" s="315"/>
      <c r="Z30" s="315"/>
      <c r="AA30" s="315"/>
      <c r="AB30" s="315"/>
      <c r="AC30" s="315"/>
      <c r="AD30" s="315"/>
      <c r="AE30" s="315"/>
      <c r="AF30" s="315"/>
      <c r="AG30" s="315"/>
      <c r="AH30" s="315"/>
      <c r="AI30" s="315"/>
      <c r="AJ30" s="315"/>
      <c r="AK30" s="315"/>
      <c r="AL30" s="316"/>
      <c r="AM30" s="316"/>
      <c r="AN30" s="316"/>
      <c r="AO30" s="316"/>
      <c r="AP30" s="316"/>
      <c r="AQ30" s="316"/>
      <c r="AR30" s="316"/>
      <c r="AS30" s="316"/>
      <c r="AT30" s="316"/>
      <c r="AU30" s="316"/>
      <c r="AV30" s="316"/>
      <c r="AW30" s="316"/>
      <c r="AX30" s="316"/>
      <c r="AY30" s="316"/>
      <c r="AZ30" s="316"/>
      <c r="BA30" s="316"/>
      <c r="BB30" s="316"/>
      <c r="BC30" s="334"/>
      <c r="BD30" s="334"/>
      <c r="BE30" s="334"/>
      <c r="BF30" s="334"/>
      <c r="BG30" s="334"/>
      <c r="BH30" s="334"/>
      <c r="BI30" s="334"/>
      <c r="BJ30" s="334"/>
      <c r="BK30" s="334"/>
      <c r="BL30" s="334"/>
      <c r="BM30" s="334"/>
      <c r="BN30" s="334"/>
      <c r="BO30" s="334"/>
      <c r="BP30" s="334"/>
      <c r="BQ30" s="334"/>
      <c r="BR30" s="334"/>
      <c r="BS30" s="334"/>
      <c r="BT30" s="334"/>
      <c r="BU30" s="334"/>
      <c r="BV30" s="334"/>
      <c r="BW30" s="334"/>
      <c r="BX30" s="334"/>
      <c r="BY30" s="334"/>
      <c r="BZ30" s="334"/>
      <c r="CA30" s="334"/>
      <c r="CB30" s="334"/>
      <c r="CC30" s="334"/>
      <c r="CD30" s="334"/>
      <c r="CE30" s="334"/>
      <c r="CF30" s="334"/>
      <c r="CG30" s="334"/>
      <c r="CH30" s="334"/>
      <c r="CI30" s="334"/>
      <c r="CJ30" s="334"/>
      <c r="CK30" s="334"/>
      <c r="CL30" s="334"/>
      <c r="CM30" s="334"/>
      <c r="CN30" s="334"/>
      <c r="CO30" s="334"/>
      <c r="CP30" s="334"/>
      <c r="CQ30" s="334"/>
      <c r="CR30" s="334"/>
      <c r="CS30" s="334"/>
      <c r="CT30" s="334"/>
      <c r="CU30" s="334"/>
      <c r="CV30" s="334"/>
      <c r="CW30" s="334"/>
      <c r="CX30" s="334"/>
      <c r="CY30" s="334"/>
      <c r="CZ30" s="334"/>
      <c r="DA30" s="334"/>
      <c r="DB30" s="334"/>
      <c r="DC30" s="334"/>
      <c r="DD30" s="334"/>
      <c r="DE30" s="334"/>
      <c r="DF30" s="334"/>
      <c r="DG30" s="334"/>
      <c r="DH30" s="334"/>
      <c r="DI30" s="334"/>
      <c r="DJ30" s="334"/>
      <c r="DK30" s="334"/>
      <c r="DL30" s="334"/>
      <c r="DM30" s="334"/>
      <c r="DN30" s="334"/>
      <c r="DO30" s="334"/>
      <c r="DP30" s="334"/>
      <c r="DQ30" s="334"/>
    </row>
    <row r="31" spans="1:121" s="148" customFormat="1" ht="24.75" customHeight="1" thickBot="1">
      <c r="A31" s="137"/>
      <c r="B31" s="426">
        <v>5</v>
      </c>
      <c r="C31" s="427"/>
      <c r="D31" s="428"/>
      <c r="E31" s="433">
        <v>1</v>
      </c>
      <c r="F31" s="434">
        <v>3</v>
      </c>
      <c r="G31" s="523">
        <f>2009+O176</f>
        <v>2011</v>
      </c>
      <c r="H31" s="524"/>
      <c r="I31" s="470"/>
      <c r="J31" s="508"/>
      <c r="K31" s="509"/>
      <c r="L31" s="505"/>
      <c r="M31" s="466" t="s">
        <v>365</v>
      </c>
      <c r="N31" s="467"/>
      <c r="O31" s="150"/>
      <c r="P31" s="150"/>
      <c r="Q31" s="315"/>
      <c r="R31" s="315"/>
      <c r="S31" s="315"/>
      <c r="T31" s="315"/>
      <c r="U31" s="315"/>
      <c r="V31" s="315"/>
      <c r="W31" s="315"/>
      <c r="X31" s="315"/>
      <c r="Y31" s="315"/>
      <c r="Z31" s="315"/>
      <c r="AA31" s="315"/>
      <c r="AB31" s="315"/>
      <c r="AC31" s="315"/>
      <c r="AD31" s="315"/>
      <c r="AE31" s="315"/>
      <c r="AF31" s="315"/>
      <c r="AG31" s="315"/>
      <c r="AH31" s="315"/>
      <c r="AI31" s="315"/>
      <c r="AJ31" s="315"/>
      <c r="AK31" s="315"/>
      <c r="AL31" s="316"/>
      <c r="AM31" s="316"/>
      <c r="AN31" s="316"/>
      <c r="AO31" s="316"/>
      <c r="AP31" s="316"/>
      <c r="AQ31" s="316"/>
      <c r="AR31" s="316"/>
      <c r="AS31" s="316"/>
      <c r="AT31" s="316"/>
      <c r="AU31" s="316"/>
      <c r="AV31" s="316"/>
      <c r="AW31" s="316"/>
      <c r="AX31" s="316"/>
      <c r="AY31" s="316"/>
      <c r="AZ31" s="316"/>
      <c r="BA31" s="316"/>
      <c r="BB31" s="316"/>
      <c r="BC31" s="334"/>
      <c r="BD31" s="334"/>
      <c r="BE31" s="334"/>
      <c r="BF31" s="334"/>
      <c r="BG31" s="334"/>
      <c r="BH31" s="334"/>
      <c r="BI31" s="334"/>
      <c r="BJ31" s="334"/>
      <c r="BK31" s="334"/>
      <c r="BL31" s="334"/>
      <c r="BM31" s="334"/>
      <c r="BN31" s="334"/>
      <c r="BO31" s="334"/>
      <c r="BP31" s="334"/>
      <c r="BQ31" s="334"/>
      <c r="BR31" s="334"/>
      <c r="BS31" s="334"/>
      <c r="BT31" s="334"/>
      <c r="BU31" s="334"/>
      <c r="BV31" s="334"/>
      <c r="BW31" s="334"/>
      <c r="BX31" s="334"/>
      <c r="BY31" s="334"/>
      <c r="BZ31" s="334"/>
      <c r="CA31" s="334"/>
      <c r="CB31" s="334"/>
      <c r="CC31" s="334"/>
      <c r="CD31" s="334"/>
      <c r="CE31" s="334"/>
      <c r="CF31" s="334"/>
      <c r="CG31" s="334"/>
      <c r="CH31" s="334"/>
      <c r="CI31" s="334"/>
      <c r="CJ31" s="334"/>
      <c r="CK31" s="334"/>
      <c r="CL31" s="334"/>
      <c r="CM31" s="334"/>
      <c r="CN31" s="334"/>
      <c r="CO31" s="334"/>
      <c r="CP31" s="334"/>
      <c r="CQ31" s="334"/>
      <c r="CR31" s="334"/>
      <c r="CS31" s="334"/>
      <c r="CT31" s="334"/>
      <c r="CU31" s="334"/>
      <c r="CV31" s="334"/>
      <c r="CW31" s="334"/>
      <c r="CX31" s="334"/>
      <c r="CY31" s="334"/>
      <c r="CZ31" s="334"/>
      <c r="DA31" s="334"/>
      <c r="DB31" s="334"/>
      <c r="DC31" s="334"/>
      <c r="DD31" s="334"/>
      <c r="DE31" s="334"/>
      <c r="DF31" s="334"/>
      <c r="DG31" s="334"/>
      <c r="DH31" s="334"/>
      <c r="DI31" s="334"/>
      <c r="DJ31" s="334"/>
      <c r="DK31" s="334"/>
      <c r="DL31" s="334"/>
      <c r="DM31" s="334"/>
      <c r="DN31" s="334"/>
      <c r="DO31" s="334"/>
      <c r="DP31" s="334"/>
      <c r="DQ31" s="334"/>
    </row>
    <row r="32" spans="1:121" s="148" customFormat="1" ht="3" customHeight="1" thickBot="1">
      <c r="A32" s="137"/>
      <c r="B32" s="231"/>
      <c r="C32" s="147"/>
      <c r="D32" s="151"/>
      <c r="E32" s="277"/>
      <c r="F32" s="278"/>
      <c r="G32" s="232"/>
      <c r="H32" s="232"/>
      <c r="I32" s="145"/>
      <c r="J32" s="233"/>
      <c r="K32" s="233"/>
      <c r="L32" s="134"/>
      <c r="M32" s="234"/>
      <c r="N32" s="234"/>
      <c r="O32" s="235"/>
      <c r="P32" s="236"/>
      <c r="Q32" s="315"/>
      <c r="R32" s="315"/>
      <c r="S32" s="315"/>
      <c r="T32" s="315"/>
      <c r="U32" s="315"/>
      <c r="V32" s="315"/>
      <c r="W32" s="315"/>
      <c r="X32" s="315"/>
      <c r="Y32" s="315"/>
      <c r="Z32" s="315"/>
      <c r="AA32" s="315"/>
      <c r="AB32" s="315"/>
      <c r="AC32" s="315"/>
      <c r="AD32" s="315"/>
      <c r="AE32" s="315"/>
      <c r="AF32" s="315"/>
      <c r="AG32" s="315"/>
      <c r="AH32" s="315"/>
      <c r="AI32" s="315"/>
      <c r="AJ32" s="315"/>
      <c r="AK32" s="315"/>
      <c r="AL32" s="316"/>
      <c r="AM32" s="316"/>
      <c r="AN32" s="316"/>
      <c r="AO32" s="316"/>
      <c r="AP32" s="316"/>
      <c r="AQ32" s="316"/>
      <c r="AR32" s="316"/>
      <c r="AS32" s="316"/>
      <c r="AT32" s="316"/>
      <c r="AU32" s="316"/>
      <c r="AV32" s="316"/>
      <c r="AW32" s="316"/>
      <c r="AX32" s="316"/>
      <c r="AY32" s="316"/>
      <c r="AZ32" s="316"/>
      <c r="BA32" s="316"/>
      <c r="BB32" s="316"/>
      <c r="BC32" s="334"/>
      <c r="BD32" s="334"/>
      <c r="BE32" s="334"/>
      <c r="BF32" s="334"/>
      <c r="BG32" s="334"/>
      <c r="BH32" s="334"/>
      <c r="BI32" s="334"/>
      <c r="BJ32" s="334"/>
      <c r="BK32" s="334"/>
      <c r="BL32" s="334"/>
      <c r="BM32" s="334"/>
      <c r="BN32" s="334"/>
      <c r="BO32" s="334"/>
      <c r="BP32" s="334"/>
      <c r="BQ32" s="334"/>
      <c r="BR32" s="334"/>
      <c r="BS32" s="334"/>
      <c r="BT32" s="334"/>
      <c r="BU32" s="334"/>
      <c r="BV32" s="334"/>
      <c r="BW32" s="334"/>
      <c r="BX32" s="334"/>
      <c r="BY32" s="334"/>
      <c r="BZ32" s="334"/>
      <c r="CA32" s="334"/>
      <c r="CB32" s="334"/>
      <c r="CC32" s="334"/>
      <c r="CD32" s="334"/>
      <c r="CE32" s="334"/>
      <c r="CF32" s="334"/>
      <c r="CG32" s="334"/>
      <c r="CH32" s="334"/>
      <c r="CI32" s="334"/>
      <c r="CJ32" s="334"/>
      <c r="CK32" s="334"/>
      <c r="CL32" s="334"/>
      <c r="CM32" s="334"/>
      <c r="CN32" s="334"/>
      <c r="CO32" s="334"/>
      <c r="CP32" s="334"/>
      <c r="CQ32" s="334"/>
      <c r="CR32" s="334"/>
      <c r="CS32" s="334"/>
      <c r="CT32" s="334"/>
      <c r="CU32" s="334"/>
      <c r="CV32" s="334"/>
      <c r="CW32" s="334"/>
      <c r="CX32" s="334"/>
      <c r="CY32" s="334"/>
      <c r="CZ32" s="334"/>
      <c r="DA32" s="334"/>
      <c r="DB32" s="334"/>
      <c r="DC32" s="334"/>
      <c r="DD32" s="334"/>
      <c r="DE32" s="334"/>
      <c r="DF32" s="334"/>
      <c r="DG32" s="334"/>
      <c r="DH32" s="334"/>
      <c r="DI32" s="334"/>
      <c r="DJ32" s="334"/>
      <c r="DK32" s="334"/>
      <c r="DL32" s="334"/>
      <c r="DM32" s="334"/>
      <c r="DN32" s="334"/>
      <c r="DO32" s="334"/>
      <c r="DP32" s="334"/>
      <c r="DQ32" s="334"/>
    </row>
    <row r="33" spans="1:54" ht="31.5" customHeight="1" thickBot="1">
      <c r="A33" s="137"/>
      <c r="B33" s="530" t="s">
        <v>40</v>
      </c>
      <c r="C33" s="531"/>
      <c r="D33" s="532"/>
      <c r="E33" s="421" t="s">
        <v>585</v>
      </c>
      <c r="F33" s="421" t="s">
        <v>586</v>
      </c>
      <c r="G33" s="565" t="s">
        <v>587</v>
      </c>
      <c r="H33" s="566"/>
      <c r="I33" s="562">
        <f>IF(N83=3,"Your Annual Grade Increment will be after one year from the SPP-IB Sanctioned Date, so on enter your future increment date","")</f>
      </c>
      <c r="J33" s="563"/>
      <c r="K33" s="563"/>
      <c r="L33" s="563"/>
      <c r="M33" s="563"/>
      <c r="N33" s="563"/>
      <c r="O33" s="563"/>
      <c r="P33" s="564"/>
      <c r="Q33" s="315"/>
      <c r="R33" s="315"/>
      <c r="S33" s="315"/>
      <c r="T33" s="315"/>
      <c r="U33" s="315"/>
      <c r="V33" s="315"/>
      <c r="W33" s="315"/>
      <c r="X33" s="315"/>
      <c r="Y33" s="315"/>
      <c r="Z33" s="315"/>
      <c r="AA33" s="315"/>
      <c r="AB33" s="315"/>
      <c r="AC33" s="315"/>
      <c r="AD33" s="315"/>
      <c r="AE33" s="315"/>
      <c r="AF33" s="315"/>
      <c r="AG33" s="315"/>
      <c r="AH33" s="315"/>
      <c r="AI33" s="315"/>
      <c r="AJ33" s="315"/>
      <c r="AK33" s="315"/>
      <c r="AL33" s="316"/>
      <c r="AM33" s="316"/>
      <c r="AN33" s="316"/>
      <c r="AO33" s="316"/>
      <c r="AP33" s="316"/>
      <c r="AQ33" s="316"/>
      <c r="AR33" s="316"/>
      <c r="AS33" s="316"/>
      <c r="AT33" s="316"/>
      <c r="AU33" s="316"/>
      <c r="AV33" s="316"/>
      <c r="AW33" s="316"/>
      <c r="AX33" s="316"/>
      <c r="AY33" s="316"/>
      <c r="AZ33" s="316"/>
      <c r="BA33" s="316"/>
      <c r="BB33" s="316"/>
    </row>
    <row r="34" spans="1:54" ht="6" customHeight="1" thickBot="1">
      <c r="A34" s="137"/>
      <c r="B34" s="199"/>
      <c r="C34" s="135"/>
      <c r="D34" s="128"/>
      <c r="E34" s="128"/>
      <c r="F34" s="128"/>
      <c r="G34" s="128"/>
      <c r="H34" s="128"/>
      <c r="I34" s="128"/>
      <c r="J34" s="128"/>
      <c r="K34" s="128"/>
      <c r="L34" s="128"/>
      <c r="M34" s="128"/>
      <c r="N34" s="128"/>
      <c r="O34" s="128"/>
      <c r="P34" s="138"/>
      <c r="Q34" s="315"/>
      <c r="R34" s="315"/>
      <c r="S34" s="315"/>
      <c r="T34" s="315"/>
      <c r="U34" s="315"/>
      <c r="V34" s="315"/>
      <c r="W34" s="315"/>
      <c r="X34" s="315"/>
      <c r="Y34" s="315"/>
      <c r="Z34" s="315"/>
      <c r="AA34" s="315"/>
      <c r="AB34" s="315"/>
      <c r="AC34" s="315"/>
      <c r="AD34" s="315"/>
      <c r="AE34" s="315"/>
      <c r="AF34" s="315"/>
      <c r="AG34" s="315"/>
      <c r="AH34" s="315"/>
      <c r="AI34" s="315"/>
      <c r="AJ34" s="315"/>
      <c r="AK34" s="315"/>
      <c r="AL34" s="316"/>
      <c r="AM34" s="316"/>
      <c r="AN34" s="316"/>
      <c r="AO34" s="316"/>
      <c r="AP34" s="316"/>
      <c r="AQ34" s="316"/>
      <c r="AR34" s="316"/>
      <c r="AS34" s="316"/>
      <c r="AT34" s="316"/>
      <c r="AU34" s="316"/>
      <c r="AV34" s="316"/>
      <c r="AW34" s="316"/>
      <c r="AX34" s="316"/>
      <c r="AY34" s="316"/>
      <c r="AZ34" s="316"/>
      <c r="BA34" s="316"/>
      <c r="BB34" s="316"/>
    </row>
    <row r="35" spans="1:54" ht="21" customHeight="1" thickBot="1">
      <c r="A35" s="137"/>
      <c r="B35" s="549" t="s">
        <v>297</v>
      </c>
      <c r="C35" s="550"/>
      <c r="D35" s="528" t="str">
        <f>G24</f>
        <v>1/2/2010</v>
      </c>
      <c r="E35" s="529"/>
      <c r="F35" s="130"/>
      <c r="G35" s="130"/>
      <c r="H35" s="303"/>
      <c r="I35" s="303"/>
      <c r="J35" s="520" t="s">
        <v>219</v>
      </c>
      <c r="K35" s="521"/>
      <c r="L35" s="521"/>
      <c r="M35" s="522"/>
      <c r="N35" s="303"/>
      <c r="O35" s="154"/>
      <c r="P35" s="155"/>
      <c r="Q35" s="315"/>
      <c r="R35" s="315"/>
      <c r="S35" s="315"/>
      <c r="T35" s="315"/>
      <c r="U35" s="315"/>
      <c r="V35" s="315"/>
      <c r="W35" s="315"/>
      <c r="X35" s="315"/>
      <c r="Y35" s="315"/>
      <c r="Z35" s="315"/>
      <c r="AA35" s="315"/>
      <c r="AB35" s="315"/>
      <c r="AC35" s="315"/>
      <c r="AD35" s="315"/>
      <c r="AE35" s="315"/>
      <c r="AF35" s="315"/>
      <c r="AG35" s="315"/>
      <c r="AH35" s="315"/>
      <c r="AI35" s="315"/>
      <c r="AJ35" s="315"/>
      <c r="AK35" s="315"/>
      <c r="AL35" s="316"/>
      <c r="AM35" s="316"/>
      <c r="AN35" s="316"/>
      <c r="AO35" s="316"/>
      <c r="AP35" s="316"/>
      <c r="AQ35" s="316"/>
      <c r="AR35" s="316"/>
      <c r="AS35" s="316"/>
      <c r="AT35" s="316"/>
      <c r="AU35" s="316"/>
      <c r="AV35" s="316"/>
      <c r="AW35" s="316"/>
      <c r="AX35" s="316"/>
      <c r="AY35" s="316"/>
      <c r="AZ35" s="316"/>
      <c r="BA35" s="316"/>
      <c r="BB35" s="316"/>
    </row>
    <row r="36" spans="1:54" ht="21" customHeight="1" thickBot="1">
      <c r="A36" s="137"/>
      <c r="B36" s="297" t="s">
        <v>226</v>
      </c>
      <c r="C36" s="298"/>
      <c r="D36" s="298"/>
      <c r="E36" s="299"/>
      <c r="F36" s="129"/>
      <c r="G36" s="129"/>
      <c r="H36" s="304"/>
      <c r="I36" s="304"/>
      <c r="J36" s="525" t="s">
        <v>220</v>
      </c>
      <c r="K36" s="526"/>
      <c r="L36" s="526"/>
      <c r="M36" s="526"/>
      <c r="N36" s="527"/>
      <c r="O36" s="156"/>
      <c r="P36" s="157"/>
      <c r="Q36" s="315"/>
      <c r="R36" s="315"/>
      <c r="S36" s="315"/>
      <c r="T36" s="315"/>
      <c r="U36" s="315"/>
      <c r="V36" s="315"/>
      <c r="W36" s="315"/>
      <c r="X36" s="315"/>
      <c r="Y36" s="315"/>
      <c r="Z36" s="315"/>
      <c r="AA36" s="315"/>
      <c r="AB36" s="315"/>
      <c r="AC36" s="315"/>
      <c r="AD36" s="315"/>
      <c r="AE36" s="315"/>
      <c r="AF36" s="315"/>
      <c r="AG36" s="315"/>
      <c r="AH36" s="315"/>
      <c r="AI36" s="315"/>
      <c r="AJ36" s="315"/>
      <c r="AK36" s="315"/>
      <c r="AL36" s="316"/>
      <c r="AM36" s="316"/>
      <c r="AN36" s="316"/>
      <c r="AO36" s="316"/>
      <c r="AP36" s="316"/>
      <c r="AQ36" s="316"/>
      <c r="AR36" s="316"/>
      <c r="AS36" s="316"/>
      <c r="AT36" s="316"/>
      <c r="AU36" s="316"/>
      <c r="AV36" s="316"/>
      <c r="AW36" s="316"/>
      <c r="AX36" s="316"/>
      <c r="AY36" s="316"/>
      <c r="AZ36" s="316"/>
      <c r="BA36" s="316"/>
      <c r="BB36" s="316"/>
    </row>
    <row r="37" spans="1:54" ht="21" customHeight="1" thickBot="1">
      <c r="A37" s="137"/>
      <c r="B37" s="300" t="s">
        <v>24</v>
      </c>
      <c r="C37" s="301"/>
      <c r="D37" s="301"/>
      <c r="E37" s="302"/>
      <c r="F37" s="131"/>
      <c r="G37" s="131"/>
      <c r="H37" s="305"/>
      <c r="I37" s="305"/>
      <c r="J37" s="590" t="s">
        <v>221</v>
      </c>
      <c r="K37" s="591"/>
      <c r="L37" s="591"/>
      <c r="M37" s="592"/>
      <c r="N37" s="305"/>
      <c r="O37" s="158"/>
      <c r="P37" s="149"/>
      <c r="Q37" s="315"/>
      <c r="R37" s="315"/>
      <c r="S37" s="315"/>
      <c r="T37" s="315"/>
      <c r="U37" s="315"/>
      <c r="V37" s="315"/>
      <c r="W37" s="315"/>
      <c r="X37" s="315"/>
      <c r="Y37" s="315"/>
      <c r="Z37" s="315"/>
      <c r="AA37" s="315"/>
      <c r="AB37" s="315"/>
      <c r="AC37" s="315"/>
      <c r="AD37" s="315"/>
      <c r="AE37" s="315"/>
      <c r="AF37" s="315"/>
      <c r="AG37" s="315"/>
      <c r="AH37" s="315"/>
      <c r="AI37" s="315"/>
      <c r="AJ37" s="315"/>
      <c r="AK37" s="315"/>
      <c r="AL37" s="316"/>
      <c r="AM37" s="316"/>
      <c r="AN37" s="316"/>
      <c r="AO37" s="316"/>
      <c r="AP37" s="316"/>
      <c r="AQ37" s="316"/>
      <c r="AR37" s="316"/>
      <c r="AS37" s="316"/>
      <c r="AT37" s="316"/>
      <c r="AU37" s="316"/>
      <c r="AV37" s="316"/>
      <c r="AW37" s="316"/>
      <c r="AX37" s="316"/>
      <c r="AY37" s="316"/>
      <c r="AZ37" s="316"/>
      <c r="BA37" s="316"/>
      <c r="BB37" s="316"/>
    </row>
    <row r="38" spans="1:54" ht="6.75" customHeight="1" thickBot="1">
      <c r="A38" s="137"/>
      <c r="B38" s="159"/>
      <c r="C38" s="160"/>
      <c r="D38" s="160"/>
      <c r="E38" s="446"/>
      <c r="F38" s="446"/>
      <c r="G38" s="446"/>
      <c r="H38" s="128"/>
      <c r="I38" s="128"/>
      <c r="J38" s="160"/>
      <c r="K38" s="160"/>
      <c r="L38" s="160"/>
      <c r="M38" s="160"/>
      <c r="N38" s="128"/>
      <c r="O38" s="128"/>
      <c r="P38" s="138"/>
      <c r="Q38" s="315"/>
      <c r="R38" s="315"/>
      <c r="S38" s="315"/>
      <c r="T38" s="315"/>
      <c r="U38" s="315"/>
      <c r="V38" s="315"/>
      <c r="W38" s="315"/>
      <c r="X38" s="315"/>
      <c r="Y38" s="315"/>
      <c r="Z38" s="315"/>
      <c r="AA38" s="315"/>
      <c r="AB38" s="315"/>
      <c r="AC38" s="315"/>
      <c r="AD38" s="315"/>
      <c r="AE38" s="315"/>
      <c r="AF38" s="315"/>
      <c r="AG38" s="315"/>
      <c r="AH38" s="315"/>
      <c r="AI38" s="315"/>
      <c r="AJ38" s="315"/>
      <c r="AK38" s="315"/>
      <c r="AL38" s="316"/>
      <c r="AM38" s="316"/>
      <c r="AN38" s="316"/>
      <c r="AO38" s="316"/>
      <c r="AP38" s="316"/>
      <c r="AQ38" s="316"/>
      <c r="AR38" s="316"/>
      <c r="AS38" s="316"/>
      <c r="AT38" s="316"/>
      <c r="AU38" s="316"/>
      <c r="AV38" s="316"/>
      <c r="AW38" s="316"/>
      <c r="AX38" s="316"/>
      <c r="AY38" s="316"/>
      <c r="AZ38" s="316"/>
      <c r="BA38" s="316"/>
      <c r="BB38" s="316"/>
    </row>
    <row r="39" spans="1:54" ht="21.75" customHeight="1" thickBot="1">
      <c r="A39" s="137"/>
      <c r="B39" s="498" t="s">
        <v>218</v>
      </c>
      <c r="C39" s="499"/>
      <c r="D39" s="500"/>
      <c r="E39" s="559" t="s">
        <v>611</v>
      </c>
      <c r="F39" s="560"/>
      <c r="G39" s="560"/>
      <c r="H39" s="560"/>
      <c r="I39" s="561"/>
      <c r="J39" s="449" t="s">
        <v>610</v>
      </c>
      <c r="K39" s="450"/>
      <c r="L39" s="451"/>
      <c r="M39" s="477" t="s">
        <v>25</v>
      </c>
      <c r="N39" s="478"/>
      <c r="O39" s="478"/>
      <c r="P39" s="479"/>
      <c r="Q39" s="315"/>
      <c r="R39" s="315"/>
      <c r="S39" s="315"/>
      <c r="T39" s="315"/>
      <c r="U39" s="315"/>
      <c r="V39" s="315"/>
      <c r="W39" s="315"/>
      <c r="X39" s="315"/>
      <c r="Y39" s="315"/>
      <c r="Z39" s="315"/>
      <c r="AA39" s="315"/>
      <c r="AB39" s="315"/>
      <c r="AC39" s="315"/>
      <c r="AD39" s="315"/>
      <c r="AE39" s="315"/>
      <c r="AF39" s="315"/>
      <c r="AG39" s="315"/>
      <c r="AH39" s="315"/>
      <c r="AI39" s="315"/>
      <c r="AJ39" s="315"/>
      <c r="AK39" s="315"/>
      <c r="AL39" s="316"/>
      <c r="AM39" s="316"/>
      <c r="AN39" s="316"/>
      <c r="AO39" s="316"/>
      <c r="AP39" s="316"/>
      <c r="AQ39" s="316"/>
      <c r="AR39" s="316"/>
      <c r="AS39" s="316"/>
      <c r="AT39" s="316"/>
      <c r="AU39" s="316"/>
      <c r="AV39" s="316"/>
      <c r="AW39" s="316"/>
      <c r="AX39" s="316"/>
      <c r="AY39" s="316"/>
      <c r="AZ39" s="316"/>
      <c r="BA39" s="316"/>
      <c r="BB39" s="316"/>
    </row>
    <row r="40" spans="1:54" ht="6" customHeight="1" thickBot="1">
      <c r="A40" s="137"/>
      <c r="B40" s="162"/>
      <c r="C40" s="134"/>
      <c r="D40" s="134"/>
      <c r="E40" s="134"/>
      <c r="F40" s="134"/>
      <c r="G40" s="134"/>
      <c r="H40" s="161"/>
      <c r="I40" s="161"/>
      <c r="J40" s="161"/>
      <c r="K40" s="128"/>
      <c r="L40" s="128"/>
      <c r="M40" s="128"/>
      <c r="N40" s="128"/>
      <c r="O40" s="163"/>
      <c r="P40" s="164"/>
      <c r="Q40" s="315"/>
      <c r="R40" s="315"/>
      <c r="S40" s="315"/>
      <c r="T40" s="315"/>
      <c r="U40" s="315"/>
      <c r="V40" s="315"/>
      <c r="W40" s="315"/>
      <c r="X40" s="315"/>
      <c r="Y40" s="315"/>
      <c r="Z40" s="315"/>
      <c r="AA40" s="315"/>
      <c r="AB40" s="315"/>
      <c r="AC40" s="315"/>
      <c r="AD40" s="315"/>
      <c r="AE40" s="315"/>
      <c r="AF40" s="315"/>
      <c r="AG40" s="315"/>
      <c r="AH40" s="315"/>
      <c r="AI40" s="315"/>
      <c r="AJ40" s="315"/>
      <c r="AK40" s="315"/>
      <c r="AL40" s="316"/>
      <c r="AM40" s="316"/>
      <c r="AN40" s="316"/>
      <c r="AO40" s="316"/>
      <c r="AP40" s="316"/>
      <c r="AQ40" s="316"/>
      <c r="AR40" s="316"/>
      <c r="AS40" s="316"/>
      <c r="AT40" s="316"/>
      <c r="AU40" s="316"/>
      <c r="AV40" s="316"/>
      <c r="AW40" s="316"/>
      <c r="AX40" s="316"/>
      <c r="AY40" s="316"/>
      <c r="AZ40" s="316"/>
      <c r="BA40" s="316"/>
      <c r="BB40" s="316"/>
    </row>
    <row r="41" spans="1:54" ht="22.5" customHeight="1" thickBot="1">
      <c r="A41" s="137"/>
      <c r="B41" s="466" t="s">
        <v>612</v>
      </c>
      <c r="C41" s="582"/>
      <c r="D41" s="582"/>
      <c r="E41" s="467"/>
      <c r="F41" s="587" t="s">
        <v>230</v>
      </c>
      <c r="G41" s="588"/>
      <c r="H41" s="588"/>
      <c r="I41" s="588"/>
      <c r="J41" s="588"/>
      <c r="K41" s="588"/>
      <c r="L41" s="589"/>
      <c r="M41" s="466" t="s">
        <v>201</v>
      </c>
      <c r="N41" s="467"/>
      <c r="O41" s="7"/>
      <c r="P41" s="138"/>
      <c r="Q41" s="315"/>
      <c r="R41" s="315"/>
      <c r="S41" s="315"/>
      <c r="T41" s="315"/>
      <c r="U41" s="315"/>
      <c r="V41" s="315"/>
      <c r="W41" s="315"/>
      <c r="X41" s="315"/>
      <c r="Y41" s="315"/>
      <c r="Z41" s="315"/>
      <c r="AA41" s="315"/>
      <c r="AB41" s="315"/>
      <c r="AC41" s="315"/>
      <c r="AD41" s="315"/>
      <c r="AE41" s="315"/>
      <c r="AF41" s="315"/>
      <c r="AG41" s="315"/>
      <c r="AH41" s="315"/>
      <c r="AI41" s="315"/>
      <c r="AJ41" s="315"/>
      <c r="AK41" s="315"/>
      <c r="AL41" s="316"/>
      <c r="AM41" s="316"/>
      <c r="AN41" s="316"/>
      <c r="AO41" s="316"/>
      <c r="AP41" s="316"/>
      <c r="AQ41" s="316"/>
      <c r="AR41" s="316"/>
      <c r="AS41" s="316"/>
      <c r="AT41" s="316"/>
      <c r="AU41" s="316"/>
      <c r="AV41" s="316"/>
      <c r="AW41" s="316"/>
      <c r="AX41" s="316"/>
      <c r="AY41" s="316"/>
      <c r="AZ41" s="316"/>
      <c r="BA41" s="316"/>
      <c r="BB41" s="316"/>
    </row>
    <row r="42" spans="1:107" ht="17.25" customHeight="1" thickBot="1">
      <c r="A42" s="137"/>
      <c r="B42" s="307" t="s">
        <v>20</v>
      </c>
      <c r="C42" s="6"/>
      <c r="D42" s="6"/>
      <c r="E42" s="6"/>
      <c r="F42" s="6"/>
      <c r="G42" s="306"/>
      <c r="H42" s="166"/>
      <c r="I42" s="128"/>
      <c r="J42" s="128"/>
      <c r="K42" s="167"/>
      <c r="L42" s="167"/>
      <c r="M42" s="128"/>
      <c r="N42" s="128"/>
      <c r="O42" s="128"/>
      <c r="P42" s="138"/>
      <c r="Q42" s="315"/>
      <c r="R42" s="315"/>
      <c r="S42" s="315"/>
      <c r="T42" s="315"/>
      <c r="U42" s="315"/>
      <c r="V42" s="315"/>
      <c r="W42" s="315"/>
      <c r="X42" s="315"/>
      <c r="Y42" s="315"/>
      <c r="Z42" s="315"/>
      <c r="AA42" s="315"/>
      <c r="AB42" s="315"/>
      <c r="AC42" s="315"/>
      <c r="AD42" s="315"/>
      <c r="AE42" s="315"/>
      <c r="AF42" s="315"/>
      <c r="AG42" s="315"/>
      <c r="AH42" s="315"/>
      <c r="AI42" s="315"/>
      <c r="AJ42" s="315"/>
      <c r="AK42" s="315"/>
      <c r="AL42" s="316"/>
      <c r="AM42" s="316"/>
      <c r="AN42" s="316"/>
      <c r="AO42" s="316"/>
      <c r="AP42" s="316"/>
      <c r="AQ42" s="316"/>
      <c r="AR42" s="316"/>
      <c r="AS42" s="316"/>
      <c r="AT42" s="316"/>
      <c r="AU42" s="316"/>
      <c r="AV42" s="316"/>
      <c r="AW42" s="316"/>
      <c r="AX42" s="316"/>
      <c r="AY42" s="316"/>
      <c r="AZ42" s="316"/>
      <c r="BA42" s="316"/>
      <c r="BB42" s="316"/>
      <c r="BC42" s="335"/>
      <c r="BD42" s="335"/>
      <c r="BE42" s="335"/>
      <c r="BF42" s="335"/>
      <c r="BG42" s="335"/>
      <c r="BH42" s="335"/>
      <c r="BI42" s="335"/>
      <c r="BJ42" s="335"/>
      <c r="BK42" s="335"/>
      <c r="BL42" s="335"/>
      <c r="BM42" s="335"/>
      <c r="BN42" s="335"/>
      <c r="BO42" s="335"/>
      <c r="BP42" s="335"/>
      <c r="BQ42" s="335"/>
      <c r="BR42" s="335"/>
      <c r="BS42" s="335"/>
      <c r="BT42" s="335"/>
      <c r="BU42" s="335"/>
      <c r="BV42" s="335"/>
      <c r="BW42" s="335"/>
      <c r="BX42" s="335"/>
      <c r="BY42" s="335"/>
      <c r="BZ42" s="335"/>
      <c r="CA42" s="335"/>
      <c r="CB42" s="335"/>
      <c r="CC42" s="335"/>
      <c r="CD42" s="335"/>
      <c r="CE42" s="335"/>
      <c r="CF42" s="335"/>
      <c r="CG42" s="335"/>
      <c r="CH42" s="335"/>
      <c r="CI42" s="335"/>
      <c r="CJ42" s="335"/>
      <c r="CK42" s="335"/>
      <c r="CL42" s="335"/>
      <c r="CM42" s="335"/>
      <c r="CN42" s="335"/>
      <c r="CO42" s="335"/>
      <c r="CP42" s="335"/>
      <c r="CQ42" s="335"/>
      <c r="CR42" s="335"/>
      <c r="CS42" s="335"/>
      <c r="CT42" s="335"/>
      <c r="CU42" s="335"/>
      <c r="CV42" s="335"/>
      <c r="CW42" s="335"/>
      <c r="CX42" s="335"/>
      <c r="CY42" s="335"/>
      <c r="CZ42" s="335"/>
      <c r="DC42" s="335"/>
    </row>
    <row r="43" spans="1:107" ht="27" customHeight="1" thickBot="1">
      <c r="A43" s="137"/>
      <c r="B43" s="501" t="s">
        <v>215</v>
      </c>
      <c r="C43" s="502"/>
      <c r="D43" s="502"/>
      <c r="E43" s="502"/>
      <c r="F43" s="502"/>
      <c r="G43" s="502"/>
      <c r="H43" s="502"/>
      <c r="I43" s="502"/>
      <c r="J43" s="502"/>
      <c r="K43" s="502"/>
      <c r="L43" s="502"/>
      <c r="M43" s="502"/>
      <c r="N43" s="502"/>
      <c r="O43" s="502"/>
      <c r="P43" s="503"/>
      <c r="Q43" s="315"/>
      <c r="R43" s="315"/>
      <c r="S43" s="315"/>
      <c r="T43" s="315"/>
      <c r="U43" s="315"/>
      <c r="V43" s="315"/>
      <c r="W43" s="315"/>
      <c r="X43" s="315"/>
      <c r="Y43" s="315"/>
      <c r="Z43" s="315"/>
      <c r="AA43" s="315"/>
      <c r="AB43" s="315"/>
      <c r="AC43" s="315"/>
      <c r="AD43" s="315"/>
      <c r="AE43" s="315"/>
      <c r="AF43" s="315"/>
      <c r="AG43" s="315"/>
      <c r="AH43" s="315"/>
      <c r="AI43" s="315"/>
      <c r="AJ43" s="315"/>
      <c r="AK43" s="315"/>
      <c r="AL43" s="316"/>
      <c r="AM43" s="316"/>
      <c r="AN43" s="316"/>
      <c r="AO43" s="316"/>
      <c r="AP43" s="316"/>
      <c r="AQ43" s="316"/>
      <c r="AR43" s="316"/>
      <c r="AS43" s="316"/>
      <c r="AT43" s="316"/>
      <c r="AU43" s="316"/>
      <c r="AV43" s="316"/>
      <c r="AW43" s="316"/>
      <c r="AX43" s="316"/>
      <c r="AY43" s="316"/>
      <c r="AZ43" s="316"/>
      <c r="BA43" s="316"/>
      <c r="BB43" s="316"/>
      <c r="BC43" s="336"/>
      <c r="BD43" s="336"/>
      <c r="BE43" s="336"/>
      <c r="BF43" s="336"/>
      <c r="BG43" s="336"/>
      <c r="BH43" s="336"/>
      <c r="BI43" s="336"/>
      <c r="BJ43" s="336"/>
      <c r="BK43" s="336"/>
      <c r="BL43" s="336"/>
      <c r="BM43" s="336"/>
      <c r="BN43" s="336"/>
      <c r="BO43" s="336"/>
      <c r="BP43" s="336"/>
      <c r="BQ43" s="336"/>
      <c r="BR43" s="336"/>
      <c r="BS43" s="336"/>
      <c r="BT43" s="336"/>
      <c r="BU43" s="336"/>
      <c r="BV43" s="336"/>
      <c r="BW43" s="336"/>
      <c r="BX43" s="336"/>
      <c r="BY43" s="336"/>
      <c r="BZ43" s="336"/>
      <c r="CA43" s="336"/>
      <c r="CB43" s="336"/>
      <c r="CC43" s="336"/>
      <c r="CD43" s="336"/>
      <c r="CE43" s="336"/>
      <c r="CF43" s="336"/>
      <c r="CG43" s="336"/>
      <c r="CH43" s="336"/>
      <c r="CI43" s="336"/>
      <c r="CJ43" s="336"/>
      <c r="CK43" s="336"/>
      <c r="CL43" s="336"/>
      <c r="CM43" s="336"/>
      <c r="CN43" s="336"/>
      <c r="CO43" s="336"/>
      <c r="CP43" s="336"/>
      <c r="CQ43" s="336"/>
      <c r="CR43" s="336"/>
      <c r="CS43" s="336"/>
      <c r="CT43" s="336"/>
      <c r="CU43" s="336"/>
      <c r="CV43" s="336"/>
      <c r="CW43" s="336"/>
      <c r="CX43" s="336"/>
      <c r="CY43" s="336"/>
      <c r="CZ43" s="336"/>
      <c r="DC43" s="336"/>
    </row>
    <row r="44" spans="1:107" ht="26.25" customHeight="1" thickBot="1">
      <c r="A44" s="137"/>
      <c r="B44" s="458" t="s">
        <v>56</v>
      </c>
      <c r="C44" s="460"/>
      <c r="D44" s="480" t="s">
        <v>50</v>
      </c>
      <c r="E44" s="481"/>
      <c r="F44" s="481"/>
      <c r="G44" s="482"/>
      <c r="H44" s="458" t="s">
        <v>51</v>
      </c>
      <c r="I44" s="460"/>
      <c r="J44" s="474">
        <v>20080308091</v>
      </c>
      <c r="K44" s="475"/>
      <c r="L44" s="475"/>
      <c r="M44" s="476"/>
      <c r="N44" s="452" t="s">
        <v>52</v>
      </c>
      <c r="O44" s="497"/>
      <c r="P44" s="8" t="s">
        <v>53</v>
      </c>
      <c r="Q44" s="315"/>
      <c r="R44" s="315"/>
      <c r="S44" s="315"/>
      <c r="T44" s="315"/>
      <c r="U44" s="315"/>
      <c r="V44" s="315"/>
      <c r="W44" s="315"/>
      <c r="X44" s="315"/>
      <c r="Y44" s="315"/>
      <c r="Z44" s="315"/>
      <c r="AA44" s="315"/>
      <c r="AB44" s="315"/>
      <c r="AC44" s="315"/>
      <c r="AD44" s="315"/>
      <c r="AE44" s="315"/>
      <c r="AF44" s="315"/>
      <c r="AG44" s="315"/>
      <c r="AH44" s="315"/>
      <c r="AI44" s="315"/>
      <c r="AJ44" s="315"/>
      <c r="AK44" s="315"/>
      <c r="AL44" s="316"/>
      <c r="AM44" s="316"/>
      <c r="AN44" s="316"/>
      <c r="AO44" s="316"/>
      <c r="AP44" s="316"/>
      <c r="AQ44" s="316"/>
      <c r="AR44" s="316"/>
      <c r="AS44" s="316"/>
      <c r="AT44" s="316"/>
      <c r="AU44" s="316"/>
      <c r="AV44" s="316"/>
      <c r="AW44" s="316"/>
      <c r="AX44" s="316"/>
      <c r="AY44" s="316"/>
      <c r="AZ44" s="316"/>
      <c r="BA44" s="316"/>
      <c r="BB44" s="316"/>
      <c r="BC44" s="336"/>
      <c r="BD44" s="336"/>
      <c r="BE44" s="336"/>
      <c r="BF44" s="336"/>
      <c r="BG44" s="336"/>
      <c r="BH44" s="336"/>
      <c r="BI44" s="336"/>
      <c r="BJ44" s="336"/>
      <c r="BK44" s="336"/>
      <c r="BL44" s="336"/>
      <c r="BM44" s="336"/>
      <c r="BN44" s="336"/>
      <c r="BO44" s="336"/>
      <c r="BP44" s="336"/>
      <c r="BQ44" s="336"/>
      <c r="BR44" s="336"/>
      <c r="BS44" s="336"/>
      <c r="BT44" s="336"/>
      <c r="BU44" s="336"/>
      <c r="BV44" s="336"/>
      <c r="BW44" s="336"/>
      <c r="BX44" s="336"/>
      <c r="BY44" s="336"/>
      <c r="BZ44" s="336"/>
      <c r="CA44" s="336"/>
      <c r="CB44" s="336"/>
      <c r="CC44" s="336"/>
      <c r="CD44" s="336"/>
      <c r="CE44" s="336"/>
      <c r="CF44" s="336"/>
      <c r="CG44" s="336"/>
      <c r="CH44" s="336"/>
      <c r="CI44" s="336"/>
      <c r="CJ44" s="336"/>
      <c r="CK44" s="336"/>
      <c r="CL44" s="336"/>
      <c r="CM44" s="336"/>
      <c r="CN44" s="336"/>
      <c r="CO44" s="336"/>
      <c r="CP44" s="336"/>
      <c r="CQ44" s="336"/>
      <c r="CR44" s="336"/>
      <c r="CS44" s="336"/>
      <c r="CT44" s="336"/>
      <c r="CU44" s="336"/>
      <c r="CV44" s="336"/>
      <c r="CW44" s="336"/>
      <c r="CX44" s="336"/>
      <c r="CY44" s="336"/>
      <c r="CZ44" s="336"/>
      <c r="DC44" s="336"/>
    </row>
    <row r="45" spans="1:54" ht="6" customHeight="1" thickBot="1">
      <c r="A45" s="137"/>
      <c r="B45" s="168"/>
      <c r="C45" s="5"/>
      <c r="D45" s="5"/>
      <c r="E45" s="5"/>
      <c r="F45" s="5"/>
      <c r="G45" s="5"/>
      <c r="H45" s="5"/>
      <c r="I45" s="5"/>
      <c r="J45" s="5"/>
      <c r="K45" s="5"/>
      <c r="L45" s="5"/>
      <c r="M45" s="5"/>
      <c r="N45" s="5"/>
      <c r="O45" s="133"/>
      <c r="P45" s="169"/>
      <c r="Q45" s="315"/>
      <c r="R45" s="315"/>
      <c r="S45" s="315"/>
      <c r="T45" s="315"/>
      <c r="U45" s="315"/>
      <c r="V45" s="315"/>
      <c r="W45" s="315"/>
      <c r="X45" s="315"/>
      <c r="Y45" s="315"/>
      <c r="Z45" s="315"/>
      <c r="AA45" s="315"/>
      <c r="AB45" s="315"/>
      <c r="AC45" s="315"/>
      <c r="AD45" s="315"/>
      <c r="AE45" s="315"/>
      <c r="AF45" s="315"/>
      <c r="AG45" s="315"/>
      <c r="AH45" s="315"/>
      <c r="AI45" s="315"/>
      <c r="AJ45" s="315"/>
      <c r="AK45" s="315"/>
      <c r="AL45" s="316"/>
      <c r="AM45" s="316"/>
      <c r="AN45" s="316"/>
      <c r="AO45" s="316"/>
      <c r="AP45" s="316"/>
      <c r="AQ45" s="316"/>
      <c r="AR45" s="316"/>
      <c r="AS45" s="316"/>
      <c r="AT45" s="316"/>
      <c r="AU45" s="316"/>
      <c r="AV45" s="316"/>
      <c r="AW45" s="316"/>
      <c r="AX45" s="316"/>
      <c r="AY45" s="316"/>
      <c r="AZ45" s="316"/>
      <c r="BA45" s="316"/>
      <c r="BB45" s="316"/>
    </row>
    <row r="46" spans="1:54" ht="23.25" customHeight="1" thickBot="1">
      <c r="A46" s="137"/>
      <c r="B46" s="458" t="s">
        <v>54</v>
      </c>
      <c r="C46" s="497"/>
      <c r="D46" s="512" t="s">
        <v>616</v>
      </c>
      <c r="E46" s="513"/>
      <c r="F46" s="513"/>
      <c r="G46" s="513"/>
      <c r="H46" s="513"/>
      <c r="I46" s="514"/>
      <c r="J46" s="574" t="s">
        <v>467</v>
      </c>
      <c r="K46" s="575"/>
      <c r="L46" s="133"/>
      <c r="M46" s="133"/>
      <c r="N46" s="296" t="s">
        <v>468</v>
      </c>
      <c r="O46" s="570">
        <v>123456</v>
      </c>
      <c r="P46" s="571"/>
      <c r="Q46" s="315"/>
      <c r="R46" s="315"/>
      <c r="S46" s="315"/>
      <c r="T46" s="315"/>
      <c r="U46" s="315"/>
      <c r="V46" s="315"/>
      <c r="W46" s="315"/>
      <c r="X46" s="315"/>
      <c r="Y46" s="315"/>
      <c r="Z46" s="315"/>
      <c r="AA46" s="315"/>
      <c r="AB46" s="315"/>
      <c r="AC46" s="315"/>
      <c r="AD46" s="315"/>
      <c r="AE46" s="315"/>
      <c r="AF46" s="315"/>
      <c r="AG46" s="315"/>
      <c r="AH46" s="315"/>
      <c r="AI46" s="315"/>
      <c r="AJ46" s="315"/>
      <c r="AK46" s="315"/>
      <c r="AL46" s="316"/>
      <c r="AM46" s="316"/>
      <c r="AN46" s="316"/>
      <c r="AO46" s="316"/>
      <c r="AP46" s="316"/>
      <c r="AQ46" s="316"/>
      <c r="AR46" s="316"/>
      <c r="AS46" s="316"/>
      <c r="AT46" s="316"/>
      <c r="AU46" s="316"/>
      <c r="AV46" s="316"/>
      <c r="AW46" s="316"/>
      <c r="AX46" s="316"/>
      <c r="AY46" s="316"/>
      <c r="AZ46" s="316"/>
      <c r="BA46" s="316"/>
      <c r="BB46" s="316"/>
    </row>
    <row r="47" spans="1:109" ht="7.5" customHeight="1" thickBot="1">
      <c r="A47" s="137"/>
      <c r="B47" s="165"/>
      <c r="C47" s="6"/>
      <c r="D47" s="6"/>
      <c r="E47" s="166"/>
      <c r="F47" s="166"/>
      <c r="G47" s="128"/>
      <c r="H47" s="128"/>
      <c r="I47" s="128"/>
      <c r="J47" s="128"/>
      <c r="K47" s="128"/>
      <c r="L47" s="196"/>
      <c r="M47" s="196"/>
      <c r="N47" s="196"/>
      <c r="O47" s="128"/>
      <c r="P47" s="138"/>
      <c r="Q47" s="315"/>
      <c r="R47" s="315"/>
      <c r="S47" s="315"/>
      <c r="T47" s="315"/>
      <c r="U47" s="315"/>
      <c r="V47" s="315"/>
      <c r="W47" s="315"/>
      <c r="X47" s="315"/>
      <c r="Y47" s="315"/>
      <c r="Z47" s="315"/>
      <c r="AA47" s="315"/>
      <c r="AB47" s="315"/>
      <c r="AC47" s="315"/>
      <c r="AD47" s="315"/>
      <c r="AE47" s="315"/>
      <c r="AF47" s="315"/>
      <c r="AG47" s="315"/>
      <c r="AH47" s="315"/>
      <c r="AI47" s="315"/>
      <c r="AJ47" s="315"/>
      <c r="AK47" s="315"/>
      <c r="AL47" s="316"/>
      <c r="AM47" s="316"/>
      <c r="AN47" s="316"/>
      <c r="AO47" s="316"/>
      <c r="AP47" s="316"/>
      <c r="AQ47" s="316"/>
      <c r="AR47" s="316"/>
      <c r="AS47" s="316"/>
      <c r="AT47" s="316"/>
      <c r="AU47" s="316"/>
      <c r="AV47" s="316"/>
      <c r="AW47" s="316"/>
      <c r="AX47" s="316"/>
      <c r="AY47" s="316"/>
      <c r="AZ47" s="316"/>
      <c r="BA47" s="316"/>
      <c r="BB47" s="316"/>
      <c r="BC47" s="334"/>
      <c r="BD47" s="334"/>
      <c r="BE47" s="334"/>
      <c r="BF47" s="334"/>
      <c r="BG47" s="334"/>
      <c r="BH47" s="334"/>
      <c r="BI47" s="334"/>
      <c r="BJ47" s="334"/>
      <c r="BK47" s="334"/>
      <c r="BL47" s="334"/>
      <c r="BM47" s="334"/>
      <c r="BN47" s="334"/>
      <c r="BO47" s="334"/>
      <c r="BP47" s="334"/>
      <c r="BQ47" s="334"/>
      <c r="BR47" s="334"/>
      <c r="BS47" s="334"/>
      <c r="BT47" s="334"/>
      <c r="BU47" s="334"/>
      <c r="BV47" s="334"/>
      <c r="BW47" s="334"/>
      <c r="BX47" s="334"/>
      <c r="BY47" s="334"/>
      <c r="BZ47" s="334"/>
      <c r="CA47" s="334"/>
      <c r="CB47" s="334"/>
      <c r="CC47" s="334"/>
      <c r="CD47" s="334"/>
      <c r="CE47" s="334"/>
      <c r="CF47" s="334"/>
      <c r="CG47" s="334"/>
      <c r="CH47" s="334"/>
      <c r="CI47" s="334"/>
      <c r="CJ47" s="334"/>
      <c r="CK47" s="334"/>
      <c r="CL47" s="334"/>
      <c r="CM47" s="334"/>
      <c r="CN47" s="334"/>
      <c r="CO47" s="334"/>
      <c r="CP47" s="334"/>
      <c r="CQ47" s="334"/>
      <c r="CR47" s="334"/>
      <c r="CS47" s="334"/>
      <c r="CT47" s="334"/>
      <c r="CU47" s="334"/>
      <c r="CV47" s="334"/>
      <c r="CW47" s="334"/>
      <c r="CX47" s="334"/>
      <c r="CY47" s="334"/>
      <c r="CZ47" s="334"/>
      <c r="DC47" s="334"/>
      <c r="DD47" s="334"/>
      <c r="DE47" s="337"/>
    </row>
    <row r="48" spans="1:108" ht="19.5" customHeight="1" thickBot="1">
      <c r="A48" s="137"/>
      <c r="B48" s="515" t="s">
        <v>57</v>
      </c>
      <c r="C48" s="516"/>
      <c r="D48" s="517"/>
      <c r="E48" s="486" t="s">
        <v>559</v>
      </c>
      <c r="F48" s="487"/>
      <c r="G48" s="487"/>
      <c r="H48" s="488"/>
      <c r="I48" s="458" t="s">
        <v>58</v>
      </c>
      <c r="J48" s="459"/>
      <c r="K48" s="460"/>
      <c r="L48" s="480" t="s">
        <v>560</v>
      </c>
      <c r="M48" s="481"/>
      <c r="N48" s="481"/>
      <c r="O48" s="481"/>
      <c r="P48" s="482"/>
      <c r="Q48" s="315"/>
      <c r="R48" s="315"/>
      <c r="S48" s="315"/>
      <c r="T48" s="315"/>
      <c r="U48" s="315"/>
      <c r="V48" s="315"/>
      <c r="W48" s="315"/>
      <c r="X48" s="315"/>
      <c r="Y48" s="315"/>
      <c r="Z48" s="315"/>
      <c r="AA48" s="315"/>
      <c r="AB48" s="315"/>
      <c r="AC48" s="315"/>
      <c r="AD48" s="315"/>
      <c r="AE48" s="315"/>
      <c r="AF48" s="315"/>
      <c r="AG48" s="315"/>
      <c r="AH48" s="315"/>
      <c r="AI48" s="315"/>
      <c r="AJ48" s="315"/>
      <c r="AK48" s="315"/>
      <c r="AL48" s="316"/>
      <c r="AM48" s="316"/>
      <c r="AN48" s="316"/>
      <c r="AO48" s="316"/>
      <c r="AP48" s="316"/>
      <c r="AQ48" s="316"/>
      <c r="AR48" s="316"/>
      <c r="AS48" s="316"/>
      <c r="AT48" s="316"/>
      <c r="AU48" s="316"/>
      <c r="AV48" s="316"/>
      <c r="AW48" s="316"/>
      <c r="AX48" s="316"/>
      <c r="AY48" s="316"/>
      <c r="AZ48" s="316"/>
      <c r="BA48" s="316"/>
      <c r="BB48" s="316"/>
      <c r="BC48" s="337"/>
      <c r="BD48" s="337"/>
      <c r="BE48" s="337"/>
      <c r="BF48" s="337"/>
      <c r="BG48" s="337"/>
      <c r="BH48" s="337"/>
      <c r="BI48" s="337"/>
      <c r="BJ48" s="337"/>
      <c r="BK48" s="337"/>
      <c r="BL48" s="337"/>
      <c r="BM48" s="337"/>
      <c r="BN48" s="337"/>
      <c r="BO48" s="337"/>
      <c r="BP48" s="337"/>
      <c r="BQ48" s="337"/>
      <c r="BR48" s="337"/>
      <c r="BS48" s="337"/>
      <c r="BT48" s="337"/>
      <c r="BU48" s="337"/>
      <c r="BV48" s="337"/>
      <c r="BW48" s="337"/>
      <c r="BX48" s="337"/>
      <c r="BY48" s="337"/>
      <c r="BZ48" s="337"/>
      <c r="CA48" s="337"/>
      <c r="CB48" s="337"/>
      <c r="CC48" s="337"/>
      <c r="CD48" s="337"/>
      <c r="CE48" s="337"/>
      <c r="CF48" s="337"/>
      <c r="CG48" s="337"/>
      <c r="CH48" s="337"/>
      <c r="CI48" s="337"/>
      <c r="CJ48" s="337"/>
      <c r="CK48" s="337"/>
      <c r="CL48" s="337"/>
      <c r="CM48" s="337"/>
      <c r="CN48" s="337"/>
      <c r="CO48" s="337"/>
      <c r="CP48" s="337"/>
      <c r="CQ48" s="337"/>
      <c r="CR48" s="337"/>
      <c r="CS48" s="337"/>
      <c r="CT48" s="337"/>
      <c r="CU48" s="337"/>
      <c r="CV48" s="337"/>
      <c r="CW48" s="337"/>
      <c r="CX48" s="337"/>
      <c r="CY48" s="337"/>
      <c r="CZ48" s="337"/>
      <c r="DC48" s="337"/>
      <c r="DD48" s="337"/>
    </row>
    <row r="49" spans="1:108" ht="36" customHeight="1" thickBot="1">
      <c r="A49" s="170"/>
      <c r="B49" s="471" t="s">
        <v>232</v>
      </c>
      <c r="C49" s="472"/>
      <c r="D49" s="472"/>
      <c r="E49" s="472"/>
      <c r="F49" s="472"/>
      <c r="G49" s="472"/>
      <c r="H49" s="472"/>
      <c r="I49" s="472"/>
      <c r="J49" s="472"/>
      <c r="K49" s="472"/>
      <c r="L49" s="472"/>
      <c r="M49" s="472"/>
      <c r="N49" s="472"/>
      <c r="O49" s="472"/>
      <c r="P49" s="473"/>
      <c r="Q49" s="315"/>
      <c r="R49" s="315"/>
      <c r="S49" s="315"/>
      <c r="T49" s="315"/>
      <c r="U49" s="315"/>
      <c r="V49" s="315"/>
      <c r="W49" s="315"/>
      <c r="X49" s="315"/>
      <c r="Y49" s="315"/>
      <c r="Z49" s="315"/>
      <c r="AA49" s="315"/>
      <c r="AB49" s="315"/>
      <c r="AC49" s="315"/>
      <c r="AD49" s="315"/>
      <c r="AE49" s="315"/>
      <c r="AF49" s="315"/>
      <c r="AG49" s="315"/>
      <c r="AH49" s="315"/>
      <c r="AI49" s="315"/>
      <c r="AJ49" s="315"/>
      <c r="AK49" s="315"/>
      <c r="AL49" s="316"/>
      <c r="AM49" s="316"/>
      <c r="AN49" s="316"/>
      <c r="AO49" s="316"/>
      <c r="AP49" s="316"/>
      <c r="AQ49" s="316"/>
      <c r="AR49" s="316"/>
      <c r="AS49" s="316"/>
      <c r="AT49" s="316"/>
      <c r="AU49" s="316"/>
      <c r="AV49" s="316"/>
      <c r="AW49" s="316"/>
      <c r="AX49" s="316"/>
      <c r="AY49" s="316"/>
      <c r="AZ49" s="316"/>
      <c r="BA49" s="316"/>
      <c r="BB49" s="316"/>
      <c r="BC49" s="337"/>
      <c r="BD49" s="337"/>
      <c r="BE49" s="337"/>
      <c r="BF49" s="337"/>
      <c r="BG49" s="337"/>
      <c r="BH49" s="337"/>
      <c r="BI49" s="337"/>
      <c r="BJ49" s="337"/>
      <c r="BK49" s="337"/>
      <c r="BL49" s="337"/>
      <c r="BM49" s="337"/>
      <c r="BN49" s="337"/>
      <c r="BO49" s="337"/>
      <c r="BP49" s="337"/>
      <c r="BQ49" s="337"/>
      <c r="BR49" s="337"/>
      <c r="BS49" s="337"/>
      <c r="BT49" s="337"/>
      <c r="BU49" s="337"/>
      <c r="BV49" s="337"/>
      <c r="BW49" s="337"/>
      <c r="BX49" s="337"/>
      <c r="BY49" s="337"/>
      <c r="BZ49" s="337"/>
      <c r="CA49" s="337"/>
      <c r="CB49" s="337"/>
      <c r="CC49" s="337"/>
      <c r="CD49" s="337"/>
      <c r="CE49" s="337"/>
      <c r="CF49" s="337"/>
      <c r="CG49" s="337"/>
      <c r="CH49" s="337"/>
      <c r="CI49" s="337"/>
      <c r="CJ49" s="337"/>
      <c r="CK49" s="337"/>
      <c r="CL49" s="337"/>
      <c r="CM49" s="337"/>
      <c r="CN49" s="337"/>
      <c r="CO49" s="337"/>
      <c r="CP49" s="337"/>
      <c r="CQ49" s="337"/>
      <c r="CR49" s="337"/>
      <c r="CS49" s="337"/>
      <c r="CT49" s="337"/>
      <c r="CU49" s="337"/>
      <c r="CV49" s="337"/>
      <c r="CW49" s="337"/>
      <c r="CX49" s="337"/>
      <c r="CY49" s="337"/>
      <c r="CZ49" s="337"/>
      <c r="DC49" s="337"/>
      <c r="DD49" s="337"/>
    </row>
    <row r="50" spans="1:113" s="317" customFormat="1" ht="19.5" customHeight="1">
      <c r="A50" s="312"/>
      <c r="B50" s="313"/>
      <c r="C50" s="314"/>
      <c r="D50" s="314"/>
      <c r="E50" s="314"/>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6"/>
      <c r="AM50" s="316"/>
      <c r="AN50" s="316"/>
      <c r="AO50" s="316"/>
      <c r="AP50" s="316"/>
      <c r="AQ50" s="316"/>
      <c r="AR50" s="316"/>
      <c r="AS50" s="316"/>
      <c r="AT50" s="316"/>
      <c r="AU50" s="316"/>
      <c r="AV50" s="316"/>
      <c r="AW50" s="316"/>
      <c r="AX50" s="316"/>
      <c r="AY50" s="316"/>
      <c r="AZ50" s="316"/>
      <c r="BA50" s="316"/>
      <c r="BB50" s="316"/>
      <c r="DF50" s="318"/>
      <c r="DI50" s="319"/>
    </row>
    <row r="51" spans="1:113" s="317" customFormat="1" ht="19.5" customHeight="1">
      <c r="A51" s="312"/>
      <c r="B51" s="313"/>
      <c r="C51" s="314"/>
      <c r="D51" s="314"/>
      <c r="E51" s="314"/>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6"/>
      <c r="AM51" s="316"/>
      <c r="AN51" s="316"/>
      <c r="AO51" s="316"/>
      <c r="AP51" s="316"/>
      <c r="AQ51" s="316"/>
      <c r="AR51" s="316"/>
      <c r="AS51" s="316"/>
      <c r="AT51" s="316"/>
      <c r="AU51" s="316"/>
      <c r="AV51" s="316"/>
      <c r="AW51" s="316"/>
      <c r="AX51" s="316"/>
      <c r="AY51" s="316"/>
      <c r="AZ51" s="316"/>
      <c r="BA51" s="316"/>
      <c r="BB51" s="316"/>
      <c r="DF51" s="318"/>
      <c r="DI51" s="319"/>
    </row>
    <row r="52" spans="1:113" s="317" customFormat="1" ht="19.5" customHeight="1">
      <c r="A52" s="312"/>
      <c r="B52" s="313"/>
      <c r="C52" s="314"/>
      <c r="D52" s="314"/>
      <c r="E52" s="314"/>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6"/>
      <c r="AM52" s="316"/>
      <c r="AN52" s="316"/>
      <c r="AO52" s="316"/>
      <c r="AP52" s="316"/>
      <c r="AQ52" s="316"/>
      <c r="AR52" s="316"/>
      <c r="AS52" s="316"/>
      <c r="AT52" s="316"/>
      <c r="AU52" s="316"/>
      <c r="AV52" s="316"/>
      <c r="AW52" s="316"/>
      <c r="AX52" s="316"/>
      <c r="AY52" s="316"/>
      <c r="AZ52" s="316"/>
      <c r="BA52" s="316"/>
      <c r="BB52" s="316"/>
      <c r="DF52" s="318"/>
      <c r="DI52" s="319"/>
    </row>
    <row r="53" spans="1:113" s="317" customFormat="1" ht="19.5" customHeight="1">
      <c r="A53" s="312"/>
      <c r="B53" s="313"/>
      <c r="C53" s="314"/>
      <c r="D53" s="314"/>
      <c r="E53" s="314"/>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6"/>
      <c r="AM53" s="316"/>
      <c r="AN53" s="316"/>
      <c r="AO53" s="316"/>
      <c r="AP53" s="316"/>
      <c r="AQ53" s="316"/>
      <c r="AR53" s="316"/>
      <c r="AS53" s="316"/>
      <c r="AT53" s="316"/>
      <c r="AU53" s="316"/>
      <c r="AV53" s="316"/>
      <c r="AW53" s="316"/>
      <c r="AX53" s="316"/>
      <c r="AY53" s="316"/>
      <c r="AZ53" s="316"/>
      <c r="BA53" s="316"/>
      <c r="BB53" s="316"/>
      <c r="DF53" s="318"/>
      <c r="DI53" s="319"/>
    </row>
    <row r="54" spans="1:113" s="317" customFormat="1" ht="19.5" customHeight="1">
      <c r="A54" s="312"/>
      <c r="B54" s="313"/>
      <c r="C54" s="314"/>
      <c r="D54" s="314"/>
      <c r="E54" s="314"/>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6"/>
      <c r="AM54" s="316"/>
      <c r="AN54" s="316"/>
      <c r="AO54" s="316"/>
      <c r="AP54" s="316"/>
      <c r="AQ54" s="316"/>
      <c r="AR54" s="316"/>
      <c r="AS54" s="316"/>
      <c r="AT54" s="316"/>
      <c r="AU54" s="316"/>
      <c r="AV54" s="316"/>
      <c r="AW54" s="316"/>
      <c r="AX54" s="316"/>
      <c r="AY54" s="316"/>
      <c r="AZ54" s="316"/>
      <c r="BA54" s="316"/>
      <c r="BB54" s="316"/>
      <c r="DF54" s="318"/>
      <c r="DI54" s="319"/>
    </row>
    <row r="55" spans="1:113" s="317" customFormat="1" ht="19.5" customHeight="1">
      <c r="A55" s="312"/>
      <c r="B55" s="313"/>
      <c r="C55" s="314"/>
      <c r="D55" s="314"/>
      <c r="E55" s="314"/>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6"/>
      <c r="AM55" s="316"/>
      <c r="AN55" s="316"/>
      <c r="AO55" s="316"/>
      <c r="AP55" s="316"/>
      <c r="AQ55" s="316"/>
      <c r="AR55" s="316"/>
      <c r="AS55" s="316"/>
      <c r="AT55" s="316"/>
      <c r="AU55" s="316"/>
      <c r="AV55" s="316"/>
      <c r="AW55" s="316"/>
      <c r="AX55" s="316"/>
      <c r="AY55" s="316"/>
      <c r="AZ55" s="316"/>
      <c r="BA55" s="316"/>
      <c r="BB55" s="316"/>
      <c r="DF55" s="318"/>
      <c r="DI55" s="319"/>
    </row>
    <row r="56" spans="1:113" s="317" customFormat="1" ht="19.5" customHeight="1">
      <c r="A56" s="312"/>
      <c r="B56" s="313"/>
      <c r="C56" s="314"/>
      <c r="D56" s="314"/>
      <c r="E56" s="314"/>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6"/>
      <c r="AM56" s="316"/>
      <c r="AN56" s="316"/>
      <c r="AO56" s="316"/>
      <c r="AP56" s="316"/>
      <c r="AQ56" s="316"/>
      <c r="AR56" s="316"/>
      <c r="AS56" s="316"/>
      <c r="AT56" s="316"/>
      <c r="AU56" s="316"/>
      <c r="AV56" s="316"/>
      <c r="AW56" s="316"/>
      <c r="AX56" s="316"/>
      <c r="AY56" s="316"/>
      <c r="AZ56" s="316"/>
      <c r="BA56" s="316"/>
      <c r="BB56" s="316"/>
      <c r="DF56" s="318"/>
      <c r="DI56" s="319"/>
    </row>
    <row r="57" spans="1:113" s="317" customFormat="1" ht="19.5" customHeight="1">
      <c r="A57" s="312"/>
      <c r="B57" s="313"/>
      <c r="C57" s="314"/>
      <c r="D57" s="314"/>
      <c r="E57" s="314"/>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6"/>
      <c r="AM57" s="316"/>
      <c r="AN57" s="316"/>
      <c r="AO57" s="316"/>
      <c r="AP57" s="316"/>
      <c r="AQ57" s="316"/>
      <c r="AR57" s="316"/>
      <c r="AS57" s="316"/>
      <c r="AT57" s="316"/>
      <c r="AU57" s="316"/>
      <c r="AV57" s="316"/>
      <c r="AW57" s="316"/>
      <c r="AX57" s="316"/>
      <c r="AY57" s="316"/>
      <c r="AZ57" s="316"/>
      <c r="BA57" s="316"/>
      <c r="BB57" s="316"/>
      <c r="DF57" s="318"/>
      <c r="DI57" s="319"/>
    </row>
    <row r="58" spans="1:113" s="317" customFormat="1" ht="19.5" customHeight="1">
      <c r="A58" s="312"/>
      <c r="B58" s="313"/>
      <c r="C58" s="314"/>
      <c r="D58" s="314"/>
      <c r="E58" s="314"/>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6"/>
      <c r="AM58" s="316"/>
      <c r="AN58" s="316"/>
      <c r="AO58" s="316"/>
      <c r="AP58" s="316"/>
      <c r="AQ58" s="316"/>
      <c r="AR58" s="316"/>
      <c r="AS58" s="316"/>
      <c r="AT58" s="316"/>
      <c r="AU58" s="316"/>
      <c r="AV58" s="316"/>
      <c r="AW58" s="316"/>
      <c r="AX58" s="316"/>
      <c r="AY58" s="316"/>
      <c r="AZ58" s="316"/>
      <c r="BA58" s="316"/>
      <c r="BB58" s="316"/>
      <c r="DF58" s="318"/>
      <c r="DI58" s="319"/>
    </row>
    <row r="59" spans="1:113" s="317" customFormat="1" ht="19.5" customHeight="1">
      <c r="A59" s="312"/>
      <c r="B59" s="313"/>
      <c r="C59" s="314"/>
      <c r="D59" s="314"/>
      <c r="E59" s="314"/>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6"/>
      <c r="AM59" s="316"/>
      <c r="AN59" s="316"/>
      <c r="AO59" s="316"/>
      <c r="AP59" s="316"/>
      <c r="AQ59" s="316"/>
      <c r="AR59" s="316"/>
      <c r="AS59" s="316"/>
      <c r="AT59" s="316"/>
      <c r="AU59" s="316"/>
      <c r="AV59" s="316"/>
      <c r="AW59" s="316"/>
      <c r="AX59" s="316"/>
      <c r="AY59" s="316"/>
      <c r="AZ59" s="316"/>
      <c r="BA59" s="316"/>
      <c r="BB59" s="316"/>
      <c r="DF59" s="318"/>
      <c r="DI59" s="319"/>
    </row>
    <row r="60" spans="1:113" s="317" customFormat="1" ht="19.5" customHeight="1">
      <c r="A60" s="312"/>
      <c r="B60" s="313"/>
      <c r="C60" s="314"/>
      <c r="D60" s="314"/>
      <c r="E60" s="314"/>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6"/>
      <c r="AM60" s="316"/>
      <c r="AN60" s="316"/>
      <c r="AO60" s="316"/>
      <c r="AP60" s="316"/>
      <c r="AQ60" s="316"/>
      <c r="AR60" s="316"/>
      <c r="AS60" s="316"/>
      <c r="AT60" s="316"/>
      <c r="AU60" s="316"/>
      <c r="AV60" s="316"/>
      <c r="AW60" s="316"/>
      <c r="AX60" s="316"/>
      <c r="AY60" s="316"/>
      <c r="AZ60" s="316"/>
      <c r="BA60" s="316"/>
      <c r="BB60" s="316"/>
      <c r="DF60" s="318"/>
      <c r="DI60" s="319"/>
    </row>
    <row r="61" spans="1:113" s="317" customFormat="1" ht="19.5" customHeight="1">
      <c r="A61" s="312"/>
      <c r="B61" s="313"/>
      <c r="C61" s="314"/>
      <c r="D61" s="314"/>
      <c r="E61" s="314"/>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6"/>
      <c r="AM61" s="316"/>
      <c r="AN61" s="316"/>
      <c r="AO61" s="316"/>
      <c r="AP61" s="316"/>
      <c r="AQ61" s="316"/>
      <c r="AR61" s="316"/>
      <c r="AS61" s="316"/>
      <c r="AT61" s="316"/>
      <c r="AU61" s="316"/>
      <c r="AV61" s="316"/>
      <c r="AW61" s="316"/>
      <c r="AX61" s="316"/>
      <c r="AY61" s="316"/>
      <c r="AZ61" s="316"/>
      <c r="BA61" s="316"/>
      <c r="BB61" s="316"/>
      <c r="DF61" s="318"/>
      <c r="DI61" s="319"/>
    </row>
    <row r="62" spans="1:113" s="317" customFormat="1" ht="19.5" customHeight="1">
      <c r="A62" s="312"/>
      <c r="B62" s="313"/>
      <c r="C62" s="314"/>
      <c r="D62" s="314"/>
      <c r="E62" s="314"/>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6"/>
      <c r="AM62" s="316"/>
      <c r="AN62" s="316"/>
      <c r="AO62" s="316"/>
      <c r="AP62" s="316"/>
      <c r="AQ62" s="316"/>
      <c r="AR62" s="316"/>
      <c r="AS62" s="316"/>
      <c r="AT62" s="316"/>
      <c r="AU62" s="316"/>
      <c r="AV62" s="316"/>
      <c r="AW62" s="316"/>
      <c r="AX62" s="316"/>
      <c r="AY62" s="316"/>
      <c r="AZ62" s="316"/>
      <c r="BA62" s="316"/>
      <c r="BB62" s="316"/>
      <c r="DF62" s="318"/>
      <c r="DI62" s="319"/>
    </row>
    <row r="63" spans="1:113" s="317" customFormat="1" ht="19.5" customHeight="1">
      <c r="A63" s="312"/>
      <c r="B63" s="313"/>
      <c r="C63" s="314"/>
      <c r="D63" s="314"/>
      <c r="E63" s="314"/>
      <c r="F63" s="315"/>
      <c r="G63" s="315"/>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6"/>
      <c r="AM63" s="316"/>
      <c r="AN63" s="316"/>
      <c r="AO63" s="316"/>
      <c r="AP63" s="316"/>
      <c r="AQ63" s="316"/>
      <c r="AR63" s="316"/>
      <c r="AS63" s="316"/>
      <c r="AT63" s="316"/>
      <c r="AU63" s="316"/>
      <c r="AV63" s="316"/>
      <c r="AW63" s="316"/>
      <c r="AX63" s="316"/>
      <c r="AY63" s="316"/>
      <c r="AZ63" s="316"/>
      <c r="BA63" s="316"/>
      <c r="BB63" s="316"/>
      <c r="DF63" s="318"/>
      <c r="DI63" s="319"/>
    </row>
    <row r="64" spans="1:113" s="317" customFormat="1" ht="19.5" customHeight="1">
      <c r="A64" s="312"/>
      <c r="B64" s="313"/>
      <c r="C64" s="314"/>
      <c r="D64" s="314"/>
      <c r="E64" s="314"/>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6"/>
      <c r="AM64" s="316"/>
      <c r="AN64" s="316"/>
      <c r="AO64" s="316"/>
      <c r="AP64" s="316"/>
      <c r="AQ64" s="316"/>
      <c r="AR64" s="316"/>
      <c r="AS64" s="316"/>
      <c r="AT64" s="316"/>
      <c r="AU64" s="316"/>
      <c r="AV64" s="316"/>
      <c r="AW64" s="316"/>
      <c r="AX64" s="316"/>
      <c r="AY64" s="316"/>
      <c r="AZ64" s="316"/>
      <c r="BA64" s="316"/>
      <c r="BB64" s="316"/>
      <c r="DF64" s="318"/>
      <c r="DI64" s="319"/>
    </row>
    <row r="65" spans="1:113" s="325" customFormat="1" ht="19.5" customHeight="1">
      <c r="A65" s="320"/>
      <c r="B65" s="321"/>
      <c r="C65" s="322"/>
      <c r="D65" s="322"/>
      <c r="E65" s="322"/>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4"/>
      <c r="AM65" s="324"/>
      <c r="AN65" s="324"/>
      <c r="AO65" s="324"/>
      <c r="AP65" s="324"/>
      <c r="AQ65" s="324"/>
      <c r="AR65" s="324"/>
      <c r="AS65" s="324"/>
      <c r="AT65" s="324"/>
      <c r="AU65" s="324"/>
      <c r="AV65" s="324"/>
      <c r="AW65" s="324"/>
      <c r="AX65" s="324"/>
      <c r="AY65" s="324"/>
      <c r="AZ65" s="324"/>
      <c r="BA65" s="324"/>
      <c r="BB65" s="324"/>
      <c r="DF65" s="326"/>
      <c r="DI65" s="327"/>
    </row>
    <row r="66" spans="1:113" s="340" customFormat="1" ht="27.75" customHeight="1">
      <c r="A66" s="338"/>
      <c r="B66" s="339"/>
      <c r="C66" s="338"/>
      <c r="D66" s="338"/>
      <c r="E66" s="338"/>
      <c r="AL66" s="341"/>
      <c r="AM66" s="341"/>
      <c r="AN66" s="341"/>
      <c r="AO66" s="341"/>
      <c r="AP66" s="341"/>
      <c r="AQ66" s="341"/>
      <c r="AR66" s="341"/>
      <c r="AS66" s="341"/>
      <c r="AT66" s="341"/>
      <c r="AU66" s="341"/>
      <c r="AV66" s="341"/>
      <c r="AW66" s="341"/>
      <c r="AX66" s="341"/>
      <c r="AY66" s="341"/>
      <c r="AZ66" s="341"/>
      <c r="BA66" s="341"/>
      <c r="BB66" s="341"/>
      <c r="DF66" s="342"/>
      <c r="DI66" s="343"/>
    </row>
    <row r="67" spans="1:113" s="348" customFormat="1" ht="19.5" customHeight="1" hidden="1">
      <c r="A67" s="344"/>
      <c r="B67" s="345"/>
      <c r="C67" s="346"/>
      <c r="D67" s="346"/>
      <c r="E67" s="346"/>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347"/>
      <c r="AM67" s="347"/>
      <c r="AN67" s="347"/>
      <c r="AO67" s="347"/>
      <c r="AP67" s="347"/>
      <c r="AQ67" s="347"/>
      <c r="AR67" s="347"/>
      <c r="AS67" s="347"/>
      <c r="AT67" s="347"/>
      <c r="AU67" s="347"/>
      <c r="AV67" s="347"/>
      <c r="AW67" s="347"/>
      <c r="AX67" s="347"/>
      <c r="AY67" s="347"/>
      <c r="AZ67" s="347"/>
      <c r="BA67" s="347"/>
      <c r="BB67" s="347"/>
      <c r="DF67" s="349"/>
      <c r="DI67" s="350"/>
    </row>
    <row r="68" spans="1:113" s="348" customFormat="1" ht="19.5" customHeight="1" hidden="1">
      <c r="A68" s="344"/>
      <c r="B68" s="345"/>
      <c r="C68" s="346"/>
      <c r="D68" s="346"/>
      <c r="E68" s="346"/>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347"/>
      <c r="AM68" s="347"/>
      <c r="AN68" s="347"/>
      <c r="AO68" s="347"/>
      <c r="AP68" s="347"/>
      <c r="AQ68" s="347"/>
      <c r="AR68" s="347"/>
      <c r="AS68" s="347"/>
      <c r="AT68" s="347"/>
      <c r="AU68" s="347"/>
      <c r="AV68" s="347"/>
      <c r="AW68" s="347"/>
      <c r="AX68" s="347"/>
      <c r="AY68" s="347"/>
      <c r="AZ68" s="347"/>
      <c r="BA68" s="347"/>
      <c r="BB68" s="347"/>
      <c r="DF68" s="349"/>
      <c r="DI68" s="350"/>
    </row>
    <row r="69" spans="1:113" s="348" customFormat="1" ht="19.5" customHeight="1" hidden="1">
      <c r="A69" s="344"/>
      <c r="B69" s="345"/>
      <c r="C69" s="346"/>
      <c r="D69" s="346"/>
      <c r="E69" s="346"/>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347"/>
      <c r="AM69" s="347"/>
      <c r="AN69" s="347"/>
      <c r="AO69" s="347"/>
      <c r="AP69" s="347"/>
      <c r="AQ69" s="347"/>
      <c r="AR69" s="347"/>
      <c r="AS69" s="347"/>
      <c r="AT69" s="347"/>
      <c r="AU69" s="347"/>
      <c r="AV69" s="347"/>
      <c r="AW69" s="347"/>
      <c r="AX69" s="347"/>
      <c r="AY69" s="347"/>
      <c r="AZ69" s="347"/>
      <c r="BA69" s="347"/>
      <c r="BB69" s="347"/>
      <c r="DF69" s="349"/>
      <c r="DI69" s="350"/>
    </row>
    <row r="70" spans="1:113" s="348" customFormat="1" ht="19.5" customHeight="1" hidden="1">
      <c r="A70" s="344"/>
      <c r="B70" s="345"/>
      <c r="C70" s="346"/>
      <c r="D70" s="346"/>
      <c r="E70" s="346"/>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347"/>
      <c r="AM70" s="347"/>
      <c r="AN70" s="347"/>
      <c r="AO70" s="347"/>
      <c r="AP70" s="347"/>
      <c r="AQ70" s="347"/>
      <c r="AR70" s="347"/>
      <c r="AS70" s="347"/>
      <c r="AT70" s="347"/>
      <c r="AU70" s="347"/>
      <c r="AV70" s="347"/>
      <c r="AW70" s="347"/>
      <c r="AX70" s="347"/>
      <c r="AY70" s="347"/>
      <c r="AZ70" s="347"/>
      <c r="BA70" s="347"/>
      <c r="BB70" s="347"/>
      <c r="DF70" s="349"/>
      <c r="DI70" s="350"/>
    </row>
    <row r="71" spans="1:113" s="348" customFormat="1" ht="19.5" customHeight="1" hidden="1">
      <c r="A71" s="344"/>
      <c r="B71" s="345"/>
      <c r="C71" s="346"/>
      <c r="D71" s="346"/>
      <c r="E71" s="346"/>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347"/>
      <c r="AM71" s="347"/>
      <c r="AN71" s="347"/>
      <c r="AO71" s="347"/>
      <c r="AP71" s="347"/>
      <c r="AQ71" s="347"/>
      <c r="AR71" s="347"/>
      <c r="AS71" s="347"/>
      <c r="AT71" s="347"/>
      <c r="AU71" s="347"/>
      <c r="AV71" s="347"/>
      <c r="AW71" s="347"/>
      <c r="AX71" s="347"/>
      <c r="AY71" s="347"/>
      <c r="AZ71" s="347"/>
      <c r="BA71" s="347"/>
      <c r="BB71" s="347"/>
      <c r="DF71" s="349"/>
      <c r="DI71" s="350"/>
    </row>
    <row r="72" spans="1:113" s="348" customFormat="1" ht="19.5" customHeight="1" hidden="1" thickBot="1">
      <c r="A72" s="344"/>
      <c r="B72" s="345"/>
      <c r="C72" s="346"/>
      <c r="D72" s="346"/>
      <c r="E72" s="346"/>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347"/>
      <c r="AM72" s="347"/>
      <c r="AN72" s="347"/>
      <c r="AO72" s="347"/>
      <c r="AP72" s="347"/>
      <c r="AQ72" s="347"/>
      <c r="AR72" s="347"/>
      <c r="AS72" s="347"/>
      <c r="AT72" s="347"/>
      <c r="AU72" s="347"/>
      <c r="AV72" s="347"/>
      <c r="AW72" s="347"/>
      <c r="AX72" s="347"/>
      <c r="AY72" s="347"/>
      <c r="AZ72" s="347"/>
      <c r="BA72" s="347"/>
      <c r="BB72" s="347"/>
      <c r="DF72" s="349"/>
      <c r="DI72" s="350"/>
    </row>
    <row r="73" spans="1:113" s="348" customFormat="1" ht="19.5" customHeight="1" hidden="1" thickBot="1">
      <c r="A73" s="344"/>
      <c r="B73" s="345"/>
      <c r="C73" s="351" t="s">
        <v>246</v>
      </c>
      <c r="D73" s="352">
        <v>2</v>
      </c>
      <c r="E73" s="346"/>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347"/>
      <c r="AM73" s="347"/>
      <c r="AN73" s="347"/>
      <c r="AO73" s="347"/>
      <c r="AP73" s="347"/>
      <c r="AQ73" s="347"/>
      <c r="AR73" s="347"/>
      <c r="AS73" s="347"/>
      <c r="AT73" s="347"/>
      <c r="AU73" s="347"/>
      <c r="AV73" s="347"/>
      <c r="AW73" s="347"/>
      <c r="AX73" s="347"/>
      <c r="AY73" s="347"/>
      <c r="AZ73" s="347"/>
      <c r="BA73" s="347"/>
      <c r="BB73" s="347"/>
      <c r="DF73" s="349"/>
      <c r="DI73" s="350"/>
    </row>
    <row r="74" spans="1:113" s="348" customFormat="1" ht="19.5" customHeight="1" hidden="1">
      <c r="A74" s="344"/>
      <c r="B74" s="345"/>
      <c r="C74" s="346"/>
      <c r="D74" s="346"/>
      <c r="E74" s="346"/>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347"/>
      <c r="AM74" s="347"/>
      <c r="AN74" s="347"/>
      <c r="AO74" s="347"/>
      <c r="AP74" s="347"/>
      <c r="AQ74" s="347"/>
      <c r="AR74" s="347"/>
      <c r="AS74" s="347"/>
      <c r="AT74" s="347"/>
      <c r="AU74" s="347"/>
      <c r="AV74" s="347"/>
      <c r="AW74" s="347"/>
      <c r="AX74" s="347"/>
      <c r="AY74" s="347"/>
      <c r="AZ74" s="347"/>
      <c r="BA74" s="347"/>
      <c r="BB74" s="347"/>
      <c r="DF74" s="349"/>
      <c r="DI74" s="350"/>
    </row>
    <row r="75" spans="1:113" s="348" customFormat="1" ht="19.5" customHeight="1" hidden="1">
      <c r="A75" s="344"/>
      <c r="B75" s="345"/>
      <c r="C75" s="346"/>
      <c r="D75" s="346"/>
      <c r="E75" s="346"/>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347"/>
      <c r="AM75" s="347"/>
      <c r="AN75" s="347"/>
      <c r="AO75" s="347"/>
      <c r="AP75" s="347"/>
      <c r="AQ75" s="347"/>
      <c r="AR75" s="347"/>
      <c r="AS75" s="347"/>
      <c r="AT75" s="347"/>
      <c r="AU75" s="347"/>
      <c r="AV75" s="347"/>
      <c r="AW75" s="347"/>
      <c r="AX75" s="347"/>
      <c r="AY75" s="347"/>
      <c r="AZ75" s="347"/>
      <c r="BA75" s="347"/>
      <c r="BB75" s="347"/>
      <c r="DF75" s="349"/>
      <c r="DI75" s="350"/>
    </row>
    <row r="76" spans="1:113" s="348" customFormat="1" ht="19.5" customHeight="1" hidden="1">
      <c r="A76" s="344"/>
      <c r="B76" s="345"/>
      <c r="C76" s="346"/>
      <c r="D76" s="346"/>
      <c r="E76" s="346"/>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347"/>
      <c r="AM76" s="347"/>
      <c r="AN76" s="347"/>
      <c r="AO76" s="347"/>
      <c r="AP76" s="347"/>
      <c r="AQ76" s="347"/>
      <c r="AR76" s="347"/>
      <c r="AS76" s="347"/>
      <c r="AT76" s="347"/>
      <c r="AU76" s="347"/>
      <c r="AV76" s="347"/>
      <c r="AW76" s="347"/>
      <c r="AX76" s="347"/>
      <c r="AY76" s="347"/>
      <c r="AZ76" s="347"/>
      <c r="BA76" s="347"/>
      <c r="BB76" s="347"/>
      <c r="DF76" s="349"/>
      <c r="DI76" s="350"/>
    </row>
    <row r="77" spans="1:113" s="348" customFormat="1" ht="19.5" customHeight="1" hidden="1">
      <c r="A77" s="344"/>
      <c r="B77" s="345"/>
      <c r="C77" s="353">
        <f ca="1">TODAY()</f>
        <v>40925</v>
      </c>
      <c r="D77" s="346"/>
      <c r="E77" s="346"/>
      <c r="F77" s="195"/>
      <c r="G77" s="195"/>
      <c r="H77" s="195">
        <f>YEAR(C77)</f>
        <v>2012</v>
      </c>
      <c r="I77" s="195">
        <f>MONTH(C77)</f>
        <v>1</v>
      </c>
      <c r="J77" s="195">
        <f>DAY(C77)</f>
        <v>17</v>
      </c>
      <c r="K77" s="195"/>
      <c r="L77" s="195">
        <v>2010</v>
      </c>
      <c r="M77" s="195">
        <v>2</v>
      </c>
      <c r="N77" s="195">
        <v>1</v>
      </c>
      <c r="O77" s="195"/>
      <c r="P77" s="195">
        <f>H78</f>
        <v>2002</v>
      </c>
      <c r="Q77" s="195">
        <f>I78</f>
        <v>10</v>
      </c>
      <c r="R77" s="195">
        <f>J78</f>
        <v>23</v>
      </c>
      <c r="S77" s="195"/>
      <c r="T77" s="195">
        <f>YEAR(R83)</f>
        <v>2010</v>
      </c>
      <c r="U77" s="195">
        <f>MONTH(R83)</f>
        <v>2</v>
      </c>
      <c r="V77" s="195">
        <f>DAY(R83)</f>
        <v>1</v>
      </c>
      <c r="W77" s="195"/>
      <c r="X77" s="195">
        <f>YEAR(Q84)</f>
        <v>2010</v>
      </c>
      <c r="Y77" s="195">
        <f>MONTH(Q84)</f>
        <v>2</v>
      </c>
      <c r="Z77" s="195">
        <f>DAY(Q84)</f>
        <v>1</v>
      </c>
      <c r="AA77" s="195"/>
      <c r="AB77" s="195"/>
      <c r="AC77" s="195"/>
      <c r="AD77" s="195"/>
      <c r="AE77" s="195"/>
      <c r="AF77" s="195"/>
      <c r="AG77" s="195"/>
      <c r="AH77" s="195"/>
      <c r="AI77" s="195"/>
      <c r="AJ77" s="195"/>
      <c r="AK77" s="195"/>
      <c r="AL77" s="347"/>
      <c r="AM77" s="347"/>
      <c r="AN77" s="347"/>
      <c r="AO77" s="347"/>
      <c r="AP77" s="347"/>
      <c r="AQ77" s="347"/>
      <c r="AR77" s="347"/>
      <c r="AS77" s="347"/>
      <c r="AT77" s="347"/>
      <c r="AU77" s="347"/>
      <c r="AV77" s="347"/>
      <c r="AW77" s="347"/>
      <c r="AX77" s="347"/>
      <c r="AY77" s="347"/>
      <c r="AZ77" s="347"/>
      <c r="BA77" s="347"/>
      <c r="BB77" s="347"/>
      <c r="DF77" s="349"/>
      <c r="DI77" s="350"/>
    </row>
    <row r="78" spans="1:113" s="348" customFormat="1" ht="27" customHeight="1" hidden="1">
      <c r="A78" s="344"/>
      <c r="B78" s="345"/>
      <c r="C78" s="353">
        <f>C85+O10</f>
        <v>37552</v>
      </c>
      <c r="D78" s="346"/>
      <c r="E78" s="346">
        <f ca="1">TRUNC((TODAY()-C78)/365)</f>
        <v>9</v>
      </c>
      <c r="F78" s="195"/>
      <c r="G78" s="195"/>
      <c r="H78" s="195">
        <f>YEAR(C78)</f>
        <v>2002</v>
      </c>
      <c r="I78" s="195">
        <f>MONTH(C78)</f>
        <v>10</v>
      </c>
      <c r="J78" s="195">
        <f>DAY(C78)</f>
        <v>23</v>
      </c>
      <c r="K78" s="195"/>
      <c r="L78" s="195">
        <f>H78</f>
        <v>2002</v>
      </c>
      <c r="M78" s="195">
        <f>I78</f>
        <v>10</v>
      </c>
      <c r="N78" s="195">
        <f>J78</f>
        <v>23</v>
      </c>
      <c r="O78" s="195"/>
      <c r="P78" s="195">
        <f>IF(AND(L79&gt;=1,L79&lt;8),6,IF(AND(L79&gt;=8,L79&lt;16),12,IF(AND(L79&gt;=16,L79&lt;24),18,24)))</f>
        <v>6</v>
      </c>
      <c r="Q78" s="195">
        <v>0</v>
      </c>
      <c r="R78" s="195">
        <v>0</v>
      </c>
      <c r="S78" s="195"/>
      <c r="T78" s="195">
        <f>J87</f>
        <v>1978</v>
      </c>
      <c r="U78" s="195">
        <f>H87</f>
        <v>6</v>
      </c>
      <c r="V78" s="195">
        <f>G87</f>
        <v>4</v>
      </c>
      <c r="W78" s="195"/>
      <c r="X78" s="195">
        <f>YEAR(P83)</f>
        <v>2008</v>
      </c>
      <c r="Y78" s="195">
        <f>MONTH(P83)</f>
        <v>10</v>
      </c>
      <c r="Z78" s="195">
        <f>DAY(P83)</f>
        <v>23</v>
      </c>
      <c r="AA78" s="195"/>
      <c r="AB78" s="195"/>
      <c r="AC78" s="195"/>
      <c r="AD78" s="195"/>
      <c r="AE78" s="195"/>
      <c r="AF78" s="195"/>
      <c r="AG78" s="195"/>
      <c r="AH78" s="195"/>
      <c r="AI78" s="195"/>
      <c r="AJ78" s="195"/>
      <c r="AK78" s="195"/>
      <c r="AL78" s="347"/>
      <c r="AM78" s="347"/>
      <c r="AN78" s="347"/>
      <c r="AO78" s="347"/>
      <c r="AP78" s="347"/>
      <c r="AQ78" s="347"/>
      <c r="AR78" s="347"/>
      <c r="AS78" s="347"/>
      <c r="AT78" s="347"/>
      <c r="AU78" s="347"/>
      <c r="AV78" s="347"/>
      <c r="AW78" s="347"/>
      <c r="AX78" s="347"/>
      <c r="AY78" s="347"/>
      <c r="AZ78" s="347"/>
      <c r="BA78" s="347"/>
      <c r="BB78" s="347"/>
      <c r="DF78" s="349"/>
      <c r="DI78" s="350"/>
    </row>
    <row r="79" spans="1:113" s="348" customFormat="1" ht="19.5" customHeight="1" hidden="1">
      <c r="A79" s="344"/>
      <c r="B79" s="345"/>
      <c r="C79" s="354"/>
      <c r="D79" s="354"/>
      <c r="E79" s="354"/>
      <c r="F79" s="195"/>
      <c r="G79" s="195"/>
      <c r="H79" s="195">
        <f>IF(AND(I78=I77,J78&gt;J77),H77-1-H78,IF(AND(I78&gt;=I77,J78&lt;J77),H77-H78,IF(AND(I78&gt;=I77,J78&gt;J77),H77-H78-1,IF(AND(I78&gt;I77),H77-1-H78,IF(AND(I78=I77),H77-H78,IF(AND(I78&gt;=I77,J78=J77),H77-H78,H77-H78))))))</f>
        <v>9</v>
      </c>
      <c r="I79" s="195">
        <f>IF(AND(J78&gt;J77,I78&gt;=I77),I77-1+12-I78,IF(AND(J78&gt;J77,I78&lt;I77),I77-1-I78,IF(AND(I78&gt;I77),I77+12-I78,I77-I78)))</f>
        <v>2</v>
      </c>
      <c r="J79" s="195">
        <f>IF(J78&gt;J77,J77+30-J78,J77-J78)</f>
        <v>24</v>
      </c>
      <c r="K79" s="195"/>
      <c r="L79" s="195">
        <f>IF(AND(M78=M77,N78&gt;N77),L77-1-L78,IF(AND(M78&gt;=M77,N78&lt;N77),L77-L78,IF(AND(M78&gt;=M77,N78&gt;N77),L77-L78-1,IF(AND(M78&gt;M77),L77-1-L78,IF(AND(M78=M77),L77-L78,IF(AND(M78&gt;=M77,N78=N77),L77-L78,L77-L78))))))</f>
        <v>7</v>
      </c>
      <c r="M79" s="195">
        <f>IF(AND(N78&gt;N77,M78&gt;=M77),M77-1+12-M78,IF(AND(N78&gt;N77,M78&lt;M77),M77-1-M78,IF(AND(M78&gt;M77),M77+12-M78,M77-M78)))</f>
        <v>3</v>
      </c>
      <c r="N79" s="195">
        <f>IF(N78&gt;N77,N77+30-N78,N77-N78)</f>
        <v>8</v>
      </c>
      <c r="O79" s="195"/>
      <c r="P79" s="195">
        <f>P77+P78</f>
        <v>2008</v>
      </c>
      <c r="Q79" s="195">
        <f>Q77</f>
        <v>10</v>
      </c>
      <c r="R79" s="195">
        <f>R77</f>
        <v>23</v>
      </c>
      <c r="S79" s="195"/>
      <c r="T79" s="195">
        <f>IF(AND(U78=U77,V78&gt;V77),T77-1-T78,IF(AND(U78&gt;=U77,V78&lt;V77),T77-T78,IF(AND(U78&gt;=U77,V78&gt;=V77),T77-T78,IF(AND(U78&gt;=U77),T77-1-T78,T77-T78))))</f>
        <v>32</v>
      </c>
      <c r="U79" s="195">
        <f>IF(AND(V78&gt;V77,U78&gt;=U77),U77-1+12-U78,IF(AND(V78&gt;V77,U78&lt;U77),U77-1-U78,IF(AND(U78&gt;U77),U77+12-U78,U77-U78)))</f>
        <v>7</v>
      </c>
      <c r="V79" s="195">
        <f>IF(V78&gt;V77,V77+30-V78,V77-V78)</f>
        <v>27</v>
      </c>
      <c r="W79" s="195"/>
      <c r="X79" s="195">
        <f>IF(AND(Y78=Y77,Z78&gt;Z77),X77-1-X78,IF(AND(Y78&gt;=Y77,Z78&lt;Z77),X77-X78,IF(AND(Y78&gt;=Y77,Z78&gt;=Z77),X77-X78,IF(AND(Y78&gt;=Y77),X77-1-X78,X77-X78))))</f>
        <v>2</v>
      </c>
      <c r="Y79" s="195">
        <f>IF(AND(Z78&gt;Z77,Y78&gt;=Y77),Y77-1+12-Y78,IF(AND(Z78&gt;Z77,Y78&lt;Y77),Y77-1-Y78,IF(AND(Y78&gt;Y77),Y77+12-Y78,Y77-Y78)))</f>
        <v>3</v>
      </c>
      <c r="Z79" s="195">
        <f>IF(Z78&gt;Z77,Z77+30-Z78,Z77-Z78)</f>
        <v>8</v>
      </c>
      <c r="AA79" s="195"/>
      <c r="AB79" s="195"/>
      <c r="AC79" s="195"/>
      <c r="AD79" s="195"/>
      <c r="AE79" s="195"/>
      <c r="AF79" s="195"/>
      <c r="AG79" s="195"/>
      <c r="AH79" s="195"/>
      <c r="AI79" s="195"/>
      <c r="AJ79" s="195"/>
      <c r="AK79" s="195"/>
      <c r="AL79" s="347"/>
      <c r="AM79" s="347"/>
      <c r="AN79" s="347"/>
      <c r="AO79" s="347"/>
      <c r="AP79" s="347"/>
      <c r="AQ79" s="347"/>
      <c r="AR79" s="347"/>
      <c r="AS79" s="347"/>
      <c r="AT79" s="347"/>
      <c r="AU79" s="347"/>
      <c r="AV79" s="347"/>
      <c r="AW79" s="347"/>
      <c r="AX79" s="347"/>
      <c r="AY79" s="347"/>
      <c r="AZ79" s="347"/>
      <c r="BA79" s="347"/>
      <c r="BB79" s="347"/>
      <c r="DF79" s="349"/>
      <c r="DI79" s="350"/>
    </row>
    <row r="80" spans="1:113" s="348" customFormat="1" ht="19.5" customHeight="1" hidden="1">
      <c r="A80" s="344"/>
      <c r="B80" s="345"/>
      <c r="C80" s="354"/>
      <c r="D80" s="354"/>
      <c r="E80" s="354"/>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347"/>
      <c r="AM80" s="347"/>
      <c r="AN80" s="347"/>
      <c r="AO80" s="347"/>
      <c r="AP80" s="347"/>
      <c r="AQ80" s="347"/>
      <c r="AR80" s="347"/>
      <c r="AS80" s="347"/>
      <c r="AT80" s="347"/>
      <c r="AU80" s="347"/>
      <c r="AV80" s="347"/>
      <c r="AW80" s="347"/>
      <c r="AX80" s="347"/>
      <c r="AY80" s="347"/>
      <c r="AZ80" s="347"/>
      <c r="BA80" s="347"/>
      <c r="BB80" s="347"/>
      <c r="DF80" s="349"/>
      <c r="DI80" s="350"/>
    </row>
    <row r="81" spans="1:113" s="348" customFormat="1" ht="19.5" customHeight="1" hidden="1">
      <c r="A81" s="344"/>
      <c r="B81" s="345">
        <f>DAY(C85)</f>
        <v>23</v>
      </c>
      <c r="C81" s="354"/>
      <c r="D81" s="354"/>
      <c r="E81" s="354"/>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347"/>
      <c r="AM81" s="347"/>
      <c r="AN81" s="347"/>
      <c r="AO81" s="347"/>
      <c r="AP81" s="347"/>
      <c r="AQ81" s="347"/>
      <c r="AR81" s="347"/>
      <c r="AS81" s="347"/>
      <c r="AT81" s="347"/>
      <c r="AU81" s="347"/>
      <c r="AV81" s="347"/>
      <c r="AW81" s="347"/>
      <c r="AX81" s="347"/>
      <c r="AY81" s="347"/>
      <c r="AZ81" s="347"/>
      <c r="BA81" s="347"/>
      <c r="BB81" s="347"/>
      <c r="DF81" s="349"/>
      <c r="DI81" s="350"/>
    </row>
    <row r="82" spans="1:113" s="348" customFormat="1" ht="19.5" customHeight="1" hidden="1" thickBot="1">
      <c r="A82" s="344"/>
      <c r="B82" s="345">
        <f>MONTH(C85)</f>
        <v>10</v>
      </c>
      <c r="C82" s="354"/>
      <c r="D82" s="354"/>
      <c r="E82" s="354"/>
      <c r="F82" s="195"/>
      <c r="G82" s="195"/>
      <c r="H82" s="195"/>
      <c r="I82" s="195"/>
      <c r="J82" s="195"/>
      <c r="K82" s="195"/>
      <c r="L82" s="195"/>
      <c r="M82" s="195"/>
      <c r="N82" s="195"/>
      <c r="O82" s="195"/>
      <c r="P82" s="355"/>
      <c r="Q82" s="195"/>
      <c r="R82" s="195"/>
      <c r="S82" s="195"/>
      <c r="T82" s="195"/>
      <c r="U82" s="195"/>
      <c r="V82" s="195"/>
      <c r="W82" s="195"/>
      <c r="X82" s="195"/>
      <c r="Y82" s="195"/>
      <c r="Z82" s="195"/>
      <c r="AA82" s="195"/>
      <c r="AB82" s="195"/>
      <c r="AC82" s="195"/>
      <c r="AD82" s="195"/>
      <c r="AE82" s="195"/>
      <c r="AF82" s="195"/>
      <c r="AG82" s="195"/>
      <c r="AH82" s="195"/>
      <c r="AI82" s="195"/>
      <c r="AJ82" s="195"/>
      <c r="AK82" s="195"/>
      <c r="AL82" s="347"/>
      <c r="AM82" s="347"/>
      <c r="AN82" s="347"/>
      <c r="AO82" s="347"/>
      <c r="AP82" s="347"/>
      <c r="AQ82" s="347"/>
      <c r="AR82" s="347"/>
      <c r="AS82" s="347"/>
      <c r="AT82" s="347"/>
      <c r="AU82" s="347"/>
      <c r="AV82" s="347"/>
      <c r="AW82" s="347"/>
      <c r="AX82" s="347"/>
      <c r="AY82" s="347"/>
      <c r="AZ82" s="347"/>
      <c r="BA82" s="347"/>
      <c r="BB82" s="347"/>
      <c r="DF82" s="349"/>
      <c r="DI82" s="350"/>
    </row>
    <row r="83" spans="1:113" s="348" customFormat="1" ht="19.5" customHeight="1" hidden="1" thickBot="1">
      <c r="A83" s="344"/>
      <c r="B83" s="345">
        <f>YEAR(C85)</f>
        <v>2002</v>
      </c>
      <c r="C83" s="354"/>
      <c r="D83" s="354"/>
      <c r="E83" s="354"/>
      <c r="F83" s="195"/>
      <c r="G83" s="195"/>
      <c r="H83" s="195"/>
      <c r="I83" s="195"/>
      <c r="J83" s="195"/>
      <c r="K83" s="195"/>
      <c r="L83" s="195"/>
      <c r="M83" s="195"/>
      <c r="N83" s="396">
        <f>VLOOKUP(O83,E141:F144,2,0)</f>
        <v>1</v>
      </c>
      <c r="O83" s="397" t="str">
        <f>VLOOKUP(P78,A183:B186,2,0)</f>
        <v>SG</v>
      </c>
      <c r="P83" s="398">
        <f>DATE(P79,Q79,R79)</f>
        <v>39744</v>
      </c>
      <c r="Q83" s="398">
        <f>DATE(2010,2,1)</f>
        <v>40210</v>
      </c>
      <c r="R83" s="399">
        <f>MAX(P83,Q83)</f>
        <v>40210</v>
      </c>
      <c r="S83" s="195"/>
      <c r="T83" s="195" t="str">
        <f>CONCATENATE("Your age is ",T79,"Years ",U79,"Months ",V79,"Days")</f>
        <v>Your age is 32Years 7Months 27Days</v>
      </c>
      <c r="U83" s="195"/>
      <c r="V83" s="195"/>
      <c r="W83" s="195"/>
      <c r="X83" s="195">
        <v>1</v>
      </c>
      <c r="Y83" s="423">
        <f>IF(AND(P78=12,X79=2,Y79=1),1,IF(AND(X79=2,Y79=1),0,1))</f>
        <v>1</v>
      </c>
      <c r="Z83" s="195"/>
      <c r="AA83" s="195"/>
      <c r="AB83" s="195"/>
      <c r="AC83" s="195"/>
      <c r="AD83" s="195"/>
      <c r="AE83" s="195"/>
      <c r="AF83" s="195"/>
      <c r="AG83" s="195"/>
      <c r="AH83" s="195"/>
      <c r="AI83" s="195"/>
      <c r="AJ83" s="195"/>
      <c r="AK83" s="195"/>
      <c r="AL83" s="347"/>
      <c r="AM83" s="347"/>
      <c r="AN83" s="347"/>
      <c r="AO83" s="347"/>
      <c r="AP83" s="347"/>
      <c r="AQ83" s="347"/>
      <c r="AR83" s="347"/>
      <c r="AS83" s="347"/>
      <c r="AT83" s="347"/>
      <c r="AU83" s="347"/>
      <c r="AV83" s="347"/>
      <c r="AW83" s="347"/>
      <c r="AX83" s="347"/>
      <c r="AY83" s="347"/>
      <c r="AZ83" s="347"/>
      <c r="BA83" s="347"/>
      <c r="BB83" s="347"/>
      <c r="DF83" s="349"/>
      <c r="DI83" s="350"/>
    </row>
    <row r="84" spans="1:113" s="348" customFormat="1" ht="15.75" customHeight="1" hidden="1" thickBot="1">
      <c r="A84" s="344"/>
      <c r="B84" s="345"/>
      <c r="C84" s="354" t="str">
        <f>CONCATENATE(B81,"/",B82,"/",B83)</f>
        <v>23/10/2002</v>
      </c>
      <c r="D84" s="354"/>
      <c r="E84" s="354"/>
      <c r="F84" s="195"/>
      <c r="G84" s="195"/>
      <c r="H84" s="195"/>
      <c r="I84" s="195"/>
      <c r="J84" s="195"/>
      <c r="K84" s="195"/>
      <c r="L84" s="195"/>
      <c r="M84" s="195"/>
      <c r="N84" s="400">
        <f>DAY(Q84)</f>
        <v>1</v>
      </c>
      <c r="O84" s="400">
        <f>MONTH(Q84)</f>
        <v>2</v>
      </c>
      <c r="P84" s="400">
        <f>YEAR(Q84)</f>
        <v>2010</v>
      </c>
      <c r="Q84" s="402">
        <f>IF(R90=1,R83,T89+1)</f>
        <v>40210</v>
      </c>
      <c r="R84" s="403" t="str">
        <f>CONCATENATE(N84,"/",O84,"/",P84)</f>
        <v>1/2/2010</v>
      </c>
      <c r="S84" s="195"/>
      <c r="T84" s="195"/>
      <c r="U84" s="195"/>
      <c r="V84" s="195"/>
      <c r="W84" s="195"/>
      <c r="X84" s="195"/>
      <c r="Y84" s="195"/>
      <c r="Z84" s="195"/>
      <c r="AA84" s="195"/>
      <c r="AB84" s="195"/>
      <c r="AC84" s="195"/>
      <c r="AD84" s="195"/>
      <c r="AE84" s="195"/>
      <c r="AF84" s="195"/>
      <c r="AG84" s="195"/>
      <c r="AH84" s="195"/>
      <c r="AI84" s="195"/>
      <c r="AJ84" s="195"/>
      <c r="AK84" s="195"/>
      <c r="AL84" s="347"/>
      <c r="AM84" s="347"/>
      <c r="AN84" s="347"/>
      <c r="AO84" s="347"/>
      <c r="AP84" s="347"/>
      <c r="AQ84" s="347"/>
      <c r="AR84" s="347"/>
      <c r="AS84" s="347"/>
      <c r="AT84" s="347"/>
      <c r="AU84" s="347"/>
      <c r="AV84" s="347"/>
      <c r="AW84" s="347"/>
      <c r="AX84" s="347"/>
      <c r="AY84" s="347"/>
      <c r="AZ84" s="347"/>
      <c r="BA84" s="347"/>
      <c r="BB84" s="347"/>
      <c r="DF84" s="349"/>
      <c r="DI84" s="350"/>
    </row>
    <row r="85" spans="1:113" s="348" customFormat="1" ht="15.75" customHeight="1" hidden="1">
      <c r="A85" s="344"/>
      <c r="B85" s="345" t="s">
        <v>251</v>
      </c>
      <c r="C85" s="356">
        <f>DATE(I85,H85,G85)</f>
        <v>37552</v>
      </c>
      <c r="D85" s="357"/>
      <c r="E85" s="357"/>
      <c r="F85" s="358"/>
      <c r="G85" s="359">
        <v>23</v>
      </c>
      <c r="H85" s="359">
        <v>10</v>
      </c>
      <c r="I85" s="348">
        <f>VLOOKUP(I88,G91:I121,3,0)</f>
        <v>2002</v>
      </c>
      <c r="K85" s="195"/>
      <c r="L85" s="195"/>
      <c r="M85" s="195"/>
      <c r="N85" s="400"/>
      <c r="O85" s="400"/>
      <c r="P85" s="400"/>
      <c r="Q85" s="400"/>
      <c r="R85" s="401"/>
      <c r="S85" s="195"/>
      <c r="T85" s="195">
        <f>DAY(Q84)</f>
        <v>1</v>
      </c>
      <c r="U85" s="348">
        <f>MONTH(Q84)</f>
        <v>2</v>
      </c>
      <c r="V85" s="348">
        <f>YEAR(Q84)</f>
        <v>2010</v>
      </c>
      <c r="W85" s="195"/>
      <c r="X85" s="195"/>
      <c r="Y85" s="195"/>
      <c r="Z85" s="195"/>
      <c r="AA85" s="195"/>
      <c r="AB85" s="195"/>
      <c r="AC85" s="195"/>
      <c r="AD85" s="195"/>
      <c r="AE85" s="195"/>
      <c r="AF85" s="195"/>
      <c r="AG85" s="195"/>
      <c r="AH85" s="195"/>
      <c r="AI85" s="195"/>
      <c r="AJ85" s="195"/>
      <c r="AK85" s="195"/>
      <c r="AL85" s="347"/>
      <c r="AM85" s="347"/>
      <c r="AN85" s="347"/>
      <c r="AO85" s="347"/>
      <c r="AP85" s="347"/>
      <c r="AQ85" s="347"/>
      <c r="AR85" s="347"/>
      <c r="AS85" s="347"/>
      <c r="AT85" s="347"/>
      <c r="AU85" s="347"/>
      <c r="AV85" s="347"/>
      <c r="AW85" s="347"/>
      <c r="AX85" s="347"/>
      <c r="AY85" s="347"/>
      <c r="AZ85" s="347"/>
      <c r="BA85" s="347"/>
      <c r="BB85" s="347"/>
      <c r="DF85" s="349"/>
      <c r="DI85" s="350"/>
    </row>
    <row r="86" spans="1:113" s="348" customFormat="1" ht="15.75" customHeight="1" hidden="1">
      <c r="A86" s="344"/>
      <c r="B86" s="345"/>
      <c r="C86" s="356">
        <f>DATE(J86,H86,G86)</f>
        <v>40271</v>
      </c>
      <c r="D86" s="360"/>
      <c r="E86" s="360"/>
      <c r="F86" s="361"/>
      <c r="G86" s="359">
        <v>3</v>
      </c>
      <c r="H86" s="361">
        <v>4</v>
      </c>
      <c r="I86" s="361"/>
      <c r="J86" s="348">
        <f>VLOOKUP(J88,G91:J121,4,0)</f>
        <v>2010</v>
      </c>
      <c r="K86" s="195"/>
      <c r="L86" s="195"/>
      <c r="M86" s="195"/>
      <c r="N86" s="195"/>
      <c r="O86" s="195"/>
      <c r="P86" s="195"/>
      <c r="Q86" s="195">
        <f>MONTH(Q84)</f>
        <v>2</v>
      </c>
      <c r="R86" s="195"/>
      <c r="S86" s="195"/>
      <c r="T86" s="195"/>
      <c r="W86" s="195"/>
      <c r="X86" s="195"/>
      <c r="Y86" s="195"/>
      <c r="Z86" s="195"/>
      <c r="AA86" s="195"/>
      <c r="AB86" s="195"/>
      <c r="AC86" s="195"/>
      <c r="AD86" s="195"/>
      <c r="AE86" s="195"/>
      <c r="AF86" s="195"/>
      <c r="AG86" s="195"/>
      <c r="AH86" s="195"/>
      <c r="AI86" s="195"/>
      <c r="AJ86" s="195"/>
      <c r="AK86" s="195"/>
      <c r="AL86" s="347"/>
      <c r="AM86" s="347"/>
      <c r="AN86" s="347"/>
      <c r="AO86" s="347"/>
      <c r="AP86" s="347"/>
      <c r="AQ86" s="347"/>
      <c r="AR86" s="347"/>
      <c r="AS86" s="347"/>
      <c r="AT86" s="347"/>
      <c r="AU86" s="347"/>
      <c r="AV86" s="347"/>
      <c r="AW86" s="347"/>
      <c r="AX86" s="347"/>
      <c r="AY86" s="347"/>
      <c r="AZ86" s="347"/>
      <c r="BA86" s="347"/>
      <c r="BB86" s="347"/>
      <c r="DF86" s="349"/>
      <c r="DI86" s="350"/>
    </row>
    <row r="87" spans="1:113" s="348" customFormat="1" ht="15.75" customHeight="1" hidden="1">
      <c r="A87" s="344"/>
      <c r="B87" s="362" t="s">
        <v>252</v>
      </c>
      <c r="C87" s="363"/>
      <c r="D87" s="363"/>
      <c r="E87" s="363"/>
      <c r="F87" s="364"/>
      <c r="G87" s="364">
        <v>4</v>
      </c>
      <c r="H87" s="364">
        <v>6</v>
      </c>
      <c r="I87" s="364"/>
      <c r="J87" s="364">
        <f>VLOOKUP(L90,G91:L128,6,0)</f>
        <v>1978</v>
      </c>
      <c r="K87" s="195"/>
      <c r="L87" s="195"/>
      <c r="M87" s="195"/>
      <c r="N87" s="195"/>
      <c r="O87" s="195"/>
      <c r="P87" s="195"/>
      <c r="Q87" s="195">
        <f>YEAR(Q84)</f>
        <v>2010</v>
      </c>
      <c r="R87" s="195"/>
      <c r="S87" s="195"/>
      <c r="T87" s="195"/>
      <c r="U87" s="348" t="str">
        <f>CONCATENATE(T85,"/",U85,"/",V85)</f>
        <v>1/2/2010</v>
      </c>
      <c r="W87" s="195"/>
      <c r="X87" s="195"/>
      <c r="Y87" s="195"/>
      <c r="Z87" s="195"/>
      <c r="AA87" s="195"/>
      <c r="AB87" s="195"/>
      <c r="AC87" s="195"/>
      <c r="AD87" s="195"/>
      <c r="AE87" s="195"/>
      <c r="AF87" s="195"/>
      <c r="AG87" s="195"/>
      <c r="AH87" s="195"/>
      <c r="AI87" s="195"/>
      <c r="AJ87" s="195"/>
      <c r="AK87" s="195"/>
      <c r="AL87" s="347"/>
      <c r="AM87" s="347"/>
      <c r="AN87" s="347"/>
      <c r="AO87" s="347"/>
      <c r="AP87" s="347"/>
      <c r="AQ87" s="347"/>
      <c r="AR87" s="347"/>
      <c r="AS87" s="347"/>
      <c r="AT87" s="347"/>
      <c r="AU87" s="347"/>
      <c r="AV87" s="347"/>
      <c r="AW87" s="347"/>
      <c r="AX87" s="347"/>
      <c r="AY87" s="347"/>
      <c r="AZ87" s="347"/>
      <c r="BA87" s="347"/>
      <c r="BB87" s="347"/>
      <c r="DF87" s="349"/>
      <c r="DI87" s="350"/>
    </row>
    <row r="88" spans="1:113" s="359" customFormat="1" ht="15.75" customHeight="1" hidden="1">
      <c r="A88" s="365"/>
      <c r="B88" s="366">
        <v>3</v>
      </c>
      <c r="C88" s="359" t="str">
        <f>VLOOKUP(B88+1,B91:C98,2,0)</f>
        <v>Secondary Grade Teacher</v>
      </c>
      <c r="D88" s="367"/>
      <c r="E88" s="367"/>
      <c r="I88" s="358">
        <v>17</v>
      </c>
      <c r="J88" s="359">
        <v>4</v>
      </c>
      <c r="AE88" s="368"/>
      <c r="AF88" s="365"/>
      <c r="AL88" s="369"/>
      <c r="AM88" s="369"/>
      <c r="AN88" s="369"/>
      <c r="AO88" s="369"/>
      <c r="AP88" s="369"/>
      <c r="AQ88" s="369"/>
      <c r="AR88" s="369"/>
      <c r="AS88" s="369"/>
      <c r="AT88" s="369"/>
      <c r="AU88" s="369"/>
      <c r="AV88" s="369"/>
      <c r="AW88" s="369"/>
      <c r="AX88" s="369"/>
      <c r="AY88" s="369"/>
      <c r="AZ88" s="369"/>
      <c r="BA88" s="369"/>
      <c r="BB88" s="369"/>
      <c r="DF88" s="370"/>
      <c r="DI88" s="371"/>
    </row>
    <row r="89" spans="1:113" s="359" customFormat="1" ht="15.75" customHeight="1" hidden="1">
      <c r="A89" s="365"/>
      <c r="B89" s="366">
        <v>4</v>
      </c>
      <c r="C89" s="365" t="str">
        <f>F8</f>
        <v>Surveyar</v>
      </c>
      <c r="D89" s="367"/>
      <c r="E89" s="367"/>
      <c r="N89" s="359" t="str">
        <f>G14</f>
        <v>B.Sc</v>
      </c>
      <c r="O89" s="359" t="str">
        <f>O14</f>
        <v>B.Ed</v>
      </c>
      <c r="P89" s="359" t="str">
        <f>VLOOKUP(P90,G91:P100,10,0)</f>
        <v>Exempted</v>
      </c>
      <c r="T89" s="372">
        <f>DATE(V90,U90,T90)</f>
        <v>40273</v>
      </c>
      <c r="V89" s="359">
        <v>1</v>
      </c>
      <c r="AF89" s="365"/>
      <c r="AG89" s="365"/>
      <c r="AI89" s="373"/>
      <c r="AJ89" s="373"/>
      <c r="AK89" s="359" t="str">
        <f>IF(AG90=1,AK91,L4)</f>
        <v>Kama Reddy</v>
      </c>
      <c r="AL89" s="369"/>
      <c r="AM89" s="369"/>
      <c r="AN89" s="369"/>
      <c r="AO89" s="369"/>
      <c r="AP89" s="369"/>
      <c r="AQ89" s="369"/>
      <c r="AR89" s="369"/>
      <c r="AS89" s="369"/>
      <c r="AT89" s="369"/>
      <c r="AU89" s="369"/>
      <c r="AV89" s="369"/>
      <c r="AW89" s="369"/>
      <c r="AX89" s="369"/>
      <c r="AY89" s="369"/>
      <c r="AZ89" s="369"/>
      <c r="BA89" s="369"/>
      <c r="BB89" s="369"/>
      <c r="DF89" s="370"/>
      <c r="DI89" s="371"/>
    </row>
    <row r="90" spans="1:113" s="359" customFormat="1" ht="15.75" customHeight="1" hidden="1">
      <c r="A90" s="365"/>
      <c r="B90" s="366">
        <v>2</v>
      </c>
      <c r="C90" s="365" t="str">
        <f>N8</f>
        <v>Surveyar</v>
      </c>
      <c r="D90" s="367"/>
      <c r="E90" s="367"/>
      <c r="L90" s="359">
        <v>27</v>
      </c>
      <c r="N90" s="366">
        <v>2</v>
      </c>
      <c r="O90" s="366">
        <v>3</v>
      </c>
      <c r="P90" s="359">
        <v>3</v>
      </c>
      <c r="R90" s="359">
        <v>1</v>
      </c>
      <c r="S90" s="359" t="str">
        <f>IF(R90=1,"Yes","No")</f>
        <v>Yes</v>
      </c>
      <c r="T90" s="359">
        <v>5</v>
      </c>
      <c r="U90" s="359">
        <v>4</v>
      </c>
      <c r="V90" s="374" t="str">
        <f>IF(V89=1,"2010",IF(V89=2,"2011","2012"))</f>
        <v>2010</v>
      </c>
      <c r="AC90" s="372">
        <f>Q84</f>
        <v>40210</v>
      </c>
      <c r="AF90" s="365"/>
      <c r="AG90" s="365">
        <v>1</v>
      </c>
      <c r="AH90" s="359" t="str">
        <f>E39</f>
        <v>Gazetted Heasd Master</v>
      </c>
      <c r="AI90" s="373"/>
      <c r="AJ90" s="373"/>
      <c r="AL90" s="369"/>
      <c r="AM90" s="369"/>
      <c r="AN90" s="369"/>
      <c r="AO90" s="369"/>
      <c r="AP90" s="369"/>
      <c r="AQ90" s="369"/>
      <c r="AR90" s="369"/>
      <c r="AS90" s="369"/>
      <c r="AT90" s="369"/>
      <c r="AU90" s="369"/>
      <c r="AV90" s="369"/>
      <c r="AW90" s="369"/>
      <c r="AX90" s="369"/>
      <c r="AY90" s="369"/>
      <c r="AZ90" s="369"/>
      <c r="BA90" s="369"/>
      <c r="BB90" s="369"/>
      <c r="DF90" s="370"/>
      <c r="DI90" s="371"/>
    </row>
    <row r="91" spans="1:113" s="195" customFormat="1" ht="15.75" customHeight="1" hidden="1">
      <c r="A91" s="346"/>
      <c r="B91" s="345">
        <v>1</v>
      </c>
      <c r="C91" s="346" t="s">
        <v>244</v>
      </c>
      <c r="D91" s="354"/>
      <c r="G91" s="195">
        <v>1</v>
      </c>
      <c r="H91" s="345" t="s">
        <v>28</v>
      </c>
      <c r="I91" s="195">
        <v>1986</v>
      </c>
      <c r="J91" s="195">
        <v>2007</v>
      </c>
      <c r="L91" s="195">
        <v>1952</v>
      </c>
      <c r="N91" s="195" t="s">
        <v>253</v>
      </c>
      <c r="O91" s="195" t="s">
        <v>258</v>
      </c>
      <c r="P91" s="195" t="s">
        <v>266</v>
      </c>
      <c r="S91" s="375"/>
      <c r="T91" s="195">
        <f>IF(R90=2,1,"")</f>
      </c>
      <c r="U91" s="376">
        <f>IF(R90=2,"January","")</f>
      </c>
      <c r="V91" s="376">
        <f>IF(R90=2,"2010","")</f>
      </c>
      <c r="Z91" s="195">
        <v>1</v>
      </c>
      <c r="AA91" s="195" t="s">
        <v>281</v>
      </c>
      <c r="AC91" s="195">
        <f>MONTH(AC90)</f>
        <v>2</v>
      </c>
      <c r="AD91" s="195" t="str">
        <f>VLOOKUP(AC91,G91:H102,2,0)</f>
        <v>February</v>
      </c>
      <c r="AE91" s="376">
        <f>YEAR(AC90)</f>
        <v>2010</v>
      </c>
      <c r="AG91" s="345">
        <v>1</v>
      </c>
      <c r="AH91" s="346" t="s">
        <v>324</v>
      </c>
      <c r="AK91" s="447" t="str">
        <f>M39</f>
        <v>Kama Reddy</v>
      </c>
      <c r="AR91" s="347"/>
      <c r="AS91" s="347"/>
      <c r="AT91" s="347"/>
      <c r="AU91" s="347"/>
      <c r="AV91" s="347"/>
      <c r="AW91" s="347"/>
      <c r="AX91" s="347"/>
      <c r="AY91" s="347"/>
      <c r="AZ91" s="347"/>
      <c r="BA91" s="347"/>
      <c r="BB91" s="347"/>
      <c r="DF91" s="377"/>
      <c r="DI91" s="378"/>
    </row>
    <row r="92" spans="1:113" s="195" customFormat="1" ht="15.75" customHeight="1" hidden="1">
      <c r="A92" s="346"/>
      <c r="B92" s="345">
        <v>2</v>
      </c>
      <c r="C92" s="346" t="s">
        <v>16</v>
      </c>
      <c r="D92" s="354"/>
      <c r="E92" s="354"/>
      <c r="G92" s="195">
        <v>2</v>
      </c>
      <c r="H92" s="195" t="s">
        <v>29</v>
      </c>
      <c r="I92" s="195">
        <v>1987</v>
      </c>
      <c r="J92" s="195">
        <v>2008</v>
      </c>
      <c r="L92" s="195">
        <v>1953</v>
      </c>
      <c r="N92" s="195" t="s">
        <v>254</v>
      </c>
      <c r="O92" s="195" t="s">
        <v>259</v>
      </c>
      <c r="P92" s="195" t="s">
        <v>267</v>
      </c>
      <c r="S92" s="375"/>
      <c r="T92" s="195">
        <f>IF(R90=2,2,"")</f>
      </c>
      <c r="U92" s="376">
        <f>IF(R90=2,"February","")</f>
      </c>
      <c r="V92" s="376">
        <f>IF(R90=2,"2011","")</f>
      </c>
      <c r="X92" s="195">
        <v>1</v>
      </c>
      <c r="Y92" s="379" t="s">
        <v>298</v>
      </c>
      <c r="Z92" s="195">
        <v>2</v>
      </c>
      <c r="AA92" s="195" t="s">
        <v>300</v>
      </c>
      <c r="AE92" s="376"/>
      <c r="AG92" s="345">
        <v>2</v>
      </c>
      <c r="AH92" s="195" t="s">
        <v>325</v>
      </c>
      <c r="AI92" s="380"/>
      <c r="AJ92" s="380"/>
      <c r="AR92" s="347"/>
      <c r="AS92" s="347"/>
      <c r="AT92" s="347"/>
      <c r="AU92" s="347"/>
      <c r="AV92" s="347"/>
      <c r="AW92" s="347"/>
      <c r="AX92" s="347"/>
      <c r="AY92" s="347"/>
      <c r="AZ92" s="347"/>
      <c r="BA92" s="347"/>
      <c r="BB92" s="347"/>
      <c r="DF92" s="377"/>
      <c r="DI92" s="378"/>
    </row>
    <row r="93" spans="1:113" s="195" customFormat="1" ht="15.75" customHeight="1" hidden="1">
      <c r="A93" s="346"/>
      <c r="B93" s="345">
        <v>3</v>
      </c>
      <c r="C93" s="346" t="s">
        <v>45</v>
      </c>
      <c r="D93" s="354"/>
      <c r="E93" s="354"/>
      <c r="G93" s="195">
        <v>3</v>
      </c>
      <c r="H93" s="195" t="s">
        <v>30</v>
      </c>
      <c r="I93" s="195">
        <v>1988</v>
      </c>
      <c r="J93" s="195">
        <v>2009</v>
      </c>
      <c r="L93" s="195">
        <v>1954</v>
      </c>
      <c r="N93" s="195" t="s">
        <v>255</v>
      </c>
      <c r="O93" s="195" t="s">
        <v>260</v>
      </c>
      <c r="P93" s="195" t="s">
        <v>268</v>
      </c>
      <c r="S93" s="375"/>
      <c r="T93" s="195">
        <f>IF(R90=2,3,"")</f>
      </c>
      <c r="U93" s="376">
        <f>IF(R90=2,"March","")</f>
      </c>
      <c r="V93" s="376">
        <f>IF(R90=2,"2012","")</f>
      </c>
      <c r="X93" s="195">
        <v>2</v>
      </c>
      <c r="Y93" s="195" t="s">
        <v>299</v>
      </c>
      <c r="Z93" s="195">
        <v>3</v>
      </c>
      <c r="AA93" s="195" t="s">
        <v>301</v>
      </c>
      <c r="AE93" s="376"/>
      <c r="AG93" s="345">
        <v>3</v>
      </c>
      <c r="AH93" s="195" t="s">
        <v>326</v>
      </c>
      <c r="AI93" s="380"/>
      <c r="AJ93" s="380"/>
      <c r="AK93" s="195" t="str">
        <f>CONCATENATE("Proceedings of the ",AH90,", ",AK91)</f>
        <v>Proceedings of the Gazetted Heasd Master, Kama Reddy</v>
      </c>
      <c r="AR93" s="347"/>
      <c r="AS93" s="347"/>
      <c r="AT93" s="347"/>
      <c r="AU93" s="347"/>
      <c r="AV93" s="347"/>
      <c r="AW93" s="347"/>
      <c r="AX93" s="347"/>
      <c r="AY93" s="347"/>
      <c r="AZ93" s="347"/>
      <c r="BA93" s="347"/>
      <c r="BB93" s="347"/>
      <c r="DF93" s="377"/>
      <c r="DI93" s="378"/>
    </row>
    <row r="94" spans="1:113" s="195" customFormat="1" ht="15.75" customHeight="1" hidden="1">
      <c r="A94" s="346"/>
      <c r="B94" s="345">
        <v>4</v>
      </c>
      <c r="C94" s="346" t="s">
        <v>15</v>
      </c>
      <c r="D94" s="354"/>
      <c r="E94" s="354"/>
      <c r="G94" s="195">
        <v>4</v>
      </c>
      <c r="H94" s="195" t="s">
        <v>31</v>
      </c>
      <c r="I94" s="195">
        <v>1989</v>
      </c>
      <c r="J94" s="195">
        <v>2010</v>
      </c>
      <c r="L94" s="195">
        <v>1955</v>
      </c>
      <c r="N94" s="195" t="s">
        <v>256</v>
      </c>
      <c r="O94" s="195" t="s">
        <v>261</v>
      </c>
      <c r="S94" s="345"/>
      <c r="T94" s="195">
        <f>IF(R90=2,4,"")</f>
      </c>
      <c r="U94" s="376">
        <f>IF(R90=2,"April","")</f>
      </c>
      <c r="X94" s="195">
        <v>3</v>
      </c>
      <c r="Y94" s="381">
        <v>0.2</v>
      </c>
      <c r="Z94" s="195">
        <v>4</v>
      </c>
      <c r="AA94" s="195" t="s">
        <v>302</v>
      </c>
      <c r="AE94" s="376"/>
      <c r="AG94" s="345">
        <v>4</v>
      </c>
      <c r="AH94" s="195" t="s">
        <v>327</v>
      </c>
      <c r="AI94" s="380"/>
      <c r="AJ94" s="380"/>
      <c r="AK94" s="195" t="str">
        <f>CONCATENATE("APSESS - Modified Automatic Advancement Scheme - Pay Fixation of ",C4,", ",C90,", ",L4," in ",O83," Scales - Orders - Issued.")</f>
        <v>APSESS - Modified Automatic Advancement Scheme - Pay Fixation of Sri. G.Ravinder Reddy, Surveyar, AD, Mineing  in SG Scales - Orders - Issued.</v>
      </c>
      <c r="AR94" s="347"/>
      <c r="AS94" s="347"/>
      <c r="AT94" s="347"/>
      <c r="AU94" s="347"/>
      <c r="AV94" s="347"/>
      <c r="AW94" s="347"/>
      <c r="AX94" s="347"/>
      <c r="AY94" s="347"/>
      <c r="AZ94" s="347"/>
      <c r="BA94" s="347"/>
      <c r="BB94" s="347"/>
      <c r="DF94" s="377"/>
      <c r="DI94" s="378"/>
    </row>
    <row r="95" spans="1:113" s="195" customFormat="1" ht="15.75" customHeight="1" hidden="1">
      <c r="A95" s="346"/>
      <c r="B95" s="345">
        <v>5</v>
      </c>
      <c r="C95" s="346" t="s">
        <v>240</v>
      </c>
      <c r="D95" s="354"/>
      <c r="E95" s="354"/>
      <c r="G95" s="195">
        <v>5</v>
      </c>
      <c r="H95" s="195" t="s">
        <v>32</v>
      </c>
      <c r="I95" s="195">
        <v>1990</v>
      </c>
      <c r="J95" s="195">
        <v>2011</v>
      </c>
      <c r="L95" s="195">
        <v>1956</v>
      </c>
      <c r="N95" s="195" t="s">
        <v>257</v>
      </c>
      <c r="O95" s="195" t="s">
        <v>262</v>
      </c>
      <c r="T95" s="195">
        <f>IF(R90=2,5,"")</f>
      </c>
      <c r="U95" s="376">
        <f>IF(R90=2,"May","")</f>
      </c>
      <c r="X95" s="195">
        <v>4</v>
      </c>
      <c r="Y95" s="381">
        <v>0.3</v>
      </c>
      <c r="Z95" s="195">
        <v>5</v>
      </c>
      <c r="AA95" s="195" t="s">
        <v>303</v>
      </c>
      <c r="AE95" s="376"/>
      <c r="AG95" s="345">
        <v>5</v>
      </c>
      <c r="AH95" s="195" t="s">
        <v>328</v>
      </c>
      <c r="AI95" s="345"/>
      <c r="AR95" s="347"/>
      <c r="AS95" s="347"/>
      <c r="AT95" s="347"/>
      <c r="AU95" s="347"/>
      <c r="AV95" s="347"/>
      <c r="AW95" s="347"/>
      <c r="AX95" s="347"/>
      <c r="AY95" s="347"/>
      <c r="AZ95" s="347"/>
      <c r="BA95" s="347"/>
      <c r="BB95" s="347"/>
      <c r="DF95" s="377"/>
      <c r="DI95" s="378"/>
    </row>
    <row r="96" spans="1:113" s="195" customFormat="1" ht="15.75" customHeight="1" hidden="1">
      <c r="A96" s="346"/>
      <c r="B96" s="345">
        <v>6</v>
      </c>
      <c r="C96" s="346" t="s">
        <v>241</v>
      </c>
      <c r="D96" s="354"/>
      <c r="E96" s="354"/>
      <c r="G96" s="195">
        <v>6</v>
      </c>
      <c r="H96" s="195" t="s">
        <v>33</v>
      </c>
      <c r="I96" s="195">
        <v>1991</v>
      </c>
      <c r="J96" s="195">
        <v>2012</v>
      </c>
      <c r="L96" s="195">
        <v>1957</v>
      </c>
      <c r="N96" s="195" t="s">
        <v>269</v>
      </c>
      <c r="O96" s="195" t="s">
        <v>263</v>
      </c>
      <c r="T96" s="195">
        <f>IF(R90=2,6,"")</f>
      </c>
      <c r="U96" s="376">
        <f>IF(R90=2,"Jun","")</f>
      </c>
      <c r="Z96" s="195">
        <v>6</v>
      </c>
      <c r="AA96" s="195" t="s">
        <v>304</v>
      </c>
      <c r="AE96" s="376"/>
      <c r="AF96" s="345"/>
      <c r="AG96" s="345">
        <v>6</v>
      </c>
      <c r="AH96" s="195" t="s">
        <v>329</v>
      </c>
      <c r="AI96" s="345"/>
      <c r="AJ96" s="345"/>
      <c r="AK96" s="345"/>
      <c r="AR96" s="347"/>
      <c r="AS96" s="347"/>
      <c r="AT96" s="347"/>
      <c r="AU96" s="347"/>
      <c r="AV96" s="347"/>
      <c r="AW96" s="347"/>
      <c r="AX96" s="347"/>
      <c r="AY96" s="347"/>
      <c r="AZ96" s="347"/>
      <c r="BA96" s="347"/>
      <c r="BB96" s="347"/>
      <c r="DF96" s="377"/>
      <c r="DI96" s="378"/>
    </row>
    <row r="97" spans="1:113" s="195" customFormat="1" ht="15.75" customHeight="1" hidden="1">
      <c r="A97" s="346"/>
      <c r="B97" s="345">
        <v>7</v>
      </c>
      <c r="C97" s="346" t="s">
        <v>242</v>
      </c>
      <c r="D97" s="354"/>
      <c r="E97" s="354"/>
      <c r="G97" s="195">
        <v>7</v>
      </c>
      <c r="H97" s="195" t="s">
        <v>34</v>
      </c>
      <c r="I97" s="195">
        <v>1992</v>
      </c>
      <c r="L97" s="195">
        <v>1958</v>
      </c>
      <c r="N97" s="195" t="s">
        <v>271</v>
      </c>
      <c r="O97" s="195" t="s">
        <v>264</v>
      </c>
      <c r="T97" s="195">
        <f>IF(R90=2,7,"")</f>
      </c>
      <c r="U97" s="376">
        <f>IF(R90=2,"July","")</f>
      </c>
      <c r="W97" s="195">
        <v>3</v>
      </c>
      <c r="X97" s="195">
        <f>VLOOKUP(W97,X92:Y95,2,0)</f>
        <v>0.2</v>
      </c>
      <c r="Z97" s="195">
        <v>7</v>
      </c>
      <c r="AA97" s="195" t="s">
        <v>305</v>
      </c>
      <c r="AL97" s="347"/>
      <c r="AM97" s="347"/>
      <c r="AN97" s="347"/>
      <c r="AO97" s="347"/>
      <c r="AP97" s="347"/>
      <c r="AR97" s="347"/>
      <c r="AS97" s="347"/>
      <c r="AT97" s="347"/>
      <c r="AU97" s="347"/>
      <c r="AV97" s="347"/>
      <c r="AW97" s="347"/>
      <c r="AX97" s="347"/>
      <c r="AY97" s="347"/>
      <c r="AZ97" s="347"/>
      <c r="BA97" s="347"/>
      <c r="BB97" s="347"/>
      <c r="DF97" s="377"/>
      <c r="DI97" s="378"/>
    </row>
    <row r="98" spans="1:113" s="195" customFormat="1" ht="15.75" customHeight="1" hidden="1">
      <c r="A98" s="346"/>
      <c r="B98" s="345">
        <v>8</v>
      </c>
      <c r="C98" s="346" t="s">
        <v>243</v>
      </c>
      <c r="D98" s="354"/>
      <c r="E98" s="354"/>
      <c r="G98" s="195">
        <v>8</v>
      </c>
      <c r="H98" s="195" t="s">
        <v>35</v>
      </c>
      <c r="I98" s="195">
        <v>1993</v>
      </c>
      <c r="L98" s="195">
        <v>1959</v>
      </c>
      <c r="N98" s="195" t="s">
        <v>577</v>
      </c>
      <c r="O98" s="195" t="s">
        <v>265</v>
      </c>
      <c r="T98" s="195">
        <f>IF(R90=2,8,"")</f>
      </c>
      <c r="U98" s="376">
        <f>IF(R90=2,"August","")</f>
      </c>
      <c r="Z98" s="195">
        <v>8</v>
      </c>
      <c r="AA98" s="195" t="s">
        <v>306</v>
      </c>
      <c r="AL98" s="347"/>
      <c r="AM98" s="347"/>
      <c r="AN98" s="347"/>
      <c r="AO98" s="347"/>
      <c r="AP98" s="347"/>
      <c r="AQ98" s="347"/>
      <c r="AR98" s="347"/>
      <c r="AS98" s="347"/>
      <c r="AU98" s="347"/>
      <c r="AV98" s="347"/>
      <c r="AW98" s="347"/>
      <c r="AX98" s="347"/>
      <c r="AY98" s="347"/>
      <c r="AZ98" s="347"/>
      <c r="BA98" s="347"/>
      <c r="BB98" s="347"/>
      <c r="DF98" s="377"/>
      <c r="DI98" s="378"/>
    </row>
    <row r="99" spans="1:113" s="195" customFormat="1" ht="15.75" customHeight="1" hidden="1">
      <c r="A99" s="346"/>
      <c r="B99" s="345"/>
      <c r="C99" s="354"/>
      <c r="D99" s="354"/>
      <c r="E99" s="354"/>
      <c r="G99" s="195">
        <v>9</v>
      </c>
      <c r="H99" s="195" t="s">
        <v>36</v>
      </c>
      <c r="I99" s="195">
        <v>1994</v>
      </c>
      <c r="L99" s="195">
        <v>1960</v>
      </c>
      <c r="N99" s="195" t="s">
        <v>578</v>
      </c>
      <c r="O99" s="195" t="s">
        <v>270</v>
      </c>
      <c r="T99" s="195">
        <f>IF(R90=2,9,"")</f>
      </c>
      <c r="U99" s="376">
        <f>IF(R90=2,"September","")</f>
      </c>
      <c r="W99" s="195">
        <v>1</v>
      </c>
      <c r="X99" s="195" t="str">
        <f>VLOOKUP(W99,Z91:AA117,2,0)</f>
        <v>No Change</v>
      </c>
      <c r="Z99" s="195">
        <v>9</v>
      </c>
      <c r="AA99" s="195" t="s">
        <v>307</v>
      </c>
      <c r="AL99" s="347"/>
      <c r="AM99" s="347"/>
      <c r="AN99" s="347"/>
      <c r="AO99" s="347"/>
      <c r="AP99" s="347"/>
      <c r="AQ99" s="347"/>
      <c r="AR99" s="347"/>
      <c r="AS99" s="347"/>
      <c r="AU99" s="347"/>
      <c r="AV99" s="347"/>
      <c r="AW99" s="347"/>
      <c r="AX99" s="347"/>
      <c r="AY99" s="347"/>
      <c r="AZ99" s="347"/>
      <c r="BA99" s="347"/>
      <c r="BB99" s="347"/>
      <c r="DF99" s="377"/>
      <c r="DI99" s="378"/>
    </row>
    <row r="100" spans="1:113" s="195" customFormat="1" ht="15.75" customHeight="1" hidden="1">
      <c r="A100" s="346"/>
      <c r="B100" s="345"/>
      <c r="E100" s="354"/>
      <c r="G100" s="195">
        <v>10</v>
      </c>
      <c r="H100" s="195" t="s">
        <v>37</v>
      </c>
      <c r="I100" s="195">
        <v>1995</v>
      </c>
      <c r="L100" s="195">
        <v>1961</v>
      </c>
      <c r="N100" s="195" t="s">
        <v>579</v>
      </c>
      <c r="O100" s="195" t="s">
        <v>271</v>
      </c>
      <c r="T100" s="195">
        <f>IF(R90=2,10,"")</f>
      </c>
      <c r="U100" s="376">
        <f>IF(R90=2,"October","")</f>
      </c>
      <c r="Z100" s="195">
        <v>10</v>
      </c>
      <c r="AA100" s="195" t="s">
        <v>308</v>
      </c>
      <c r="AL100" s="347"/>
      <c r="AM100" s="347"/>
      <c r="AN100" s="347"/>
      <c r="AO100" s="347"/>
      <c r="AP100" s="347"/>
      <c r="AQ100" s="347"/>
      <c r="AR100" s="347"/>
      <c r="AS100" s="347"/>
      <c r="AU100" s="347"/>
      <c r="AV100" s="347"/>
      <c r="AW100" s="347"/>
      <c r="AX100" s="347"/>
      <c r="AY100" s="347"/>
      <c r="AZ100" s="347"/>
      <c r="BA100" s="347"/>
      <c r="BB100" s="347"/>
      <c r="DF100" s="377"/>
      <c r="DI100" s="378"/>
    </row>
    <row r="101" spans="1:113" s="348" customFormat="1" ht="15.75" customHeight="1" hidden="1">
      <c r="A101" s="344"/>
      <c r="B101" s="345"/>
      <c r="C101" s="195"/>
      <c r="D101" s="195"/>
      <c r="E101" s="354"/>
      <c r="F101" s="195"/>
      <c r="G101" s="195">
        <v>11</v>
      </c>
      <c r="H101" s="195" t="s">
        <v>38</v>
      </c>
      <c r="I101" s="195">
        <v>1996</v>
      </c>
      <c r="J101" s="195"/>
      <c r="K101" s="195"/>
      <c r="L101" s="195">
        <v>1962</v>
      </c>
      <c r="M101" s="195"/>
      <c r="N101" s="195"/>
      <c r="O101" s="195"/>
      <c r="P101" s="195"/>
      <c r="Q101" s="195"/>
      <c r="R101" s="195"/>
      <c r="S101" s="195"/>
      <c r="T101" s="195">
        <f>IF(R90=2,11,"")</f>
      </c>
      <c r="U101" s="376">
        <f>IF(R90=2,"November","")</f>
      </c>
      <c r="V101" s="195"/>
      <c r="W101" s="195"/>
      <c r="X101" s="195"/>
      <c r="Y101" s="195"/>
      <c r="Z101" s="195">
        <v>11</v>
      </c>
      <c r="AA101" s="195" t="s">
        <v>309</v>
      </c>
      <c r="AB101" s="195"/>
      <c r="AC101" s="195"/>
      <c r="AD101" s="195"/>
      <c r="AE101" s="195"/>
      <c r="AF101" s="195"/>
      <c r="AG101" s="195"/>
      <c r="AH101" s="195"/>
      <c r="AI101" s="195"/>
      <c r="AJ101" s="195">
        <v>21</v>
      </c>
      <c r="AK101" s="195"/>
      <c r="AL101" s="347"/>
      <c r="AM101" s="347"/>
      <c r="AN101" s="347">
        <v>1</v>
      </c>
      <c r="AO101" s="347"/>
      <c r="AP101" s="347"/>
      <c r="AQ101" s="347"/>
      <c r="AR101" s="347"/>
      <c r="AS101" s="347"/>
      <c r="AT101" s="195"/>
      <c r="AU101" s="347"/>
      <c r="AV101" s="347"/>
      <c r="AW101" s="347"/>
      <c r="AX101" s="347"/>
      <c r="AY101" s="347"/>
      <c r="AZ101" s="347"/>
      <c r="BA101" s="347"/>
      <c r="BB101" s="347"/>
      <c r="DF101" s="349"/>
      <c r="DI101" s="350"/>
    </row>
    <row r="102" spans="1:113" s="348" customFormat="1" ht="15.75" customHeight="1" hidden="1">
      <c r="A102" s="344"/>
      <c r="B102" s="345"/>
      <c r="C102" s="195"/>
      <c r="D102" s="195"/>
      <c r="E102" s="354"/>
      <c r="F102" s="195"/>
      <c r="G102" s="195">
        <v>12</v>
      </c>
      <c r="H102" s="195" t="s">
        <v>39</v>
      </c>
      <c r="I102" s="195">
        <v>1997</v>
      </c>
      <c r="J102" s="195"/>
      <c r="K102" s="195"/>
      <c r="L102" s="195">
        <v>1963</v>
      </c>
      <c r="M102" s="195"/>
      <c r="N102" s="195"/>
      <c r="O102" s="195"/>
      <c r="P102" s="195"/>
      <c r="Q102" s="195"/>
      <c r="R102" s="195"/>
      <c r="S102" s="195"/>
      <c r="T102" s="195">
        <f>IF(R90=2,12,"")</f>
      </c>
      <c r="U102" s="376">
        <f>IF(R90=2,"December","")</f>
      </c>
      <c r="V102" s="195"/>
      <c r="W102" s="195">
        <v>2</v>
      </c>
      <c r="X102" s="195" t="str">
        <f>VLOOKUP(W102,X92:Y95,2,0)</f>
        <v>12.5/14.5%</v>
      </c>
      <c r="Y102" s="195"/>
      <c r="Z102" s="195">
        <v>12</v>
      </c>
      <c r="AA102" s="195" t="s">
        <v>310</v>
      </c>
      <c r="AB102" s="195"/>
      <c r="AC102" s="195"/>
      <c r="AD102" s="195"/>
      <c r="AE102" s="195"/>
      <c r="AF102" s="195"/>
      <c r="AG102" s="195"/>
      <c r="AH102" s="195"/>
      <c r="AI102" s="195"/>
      <c r="AJ102" s="195"/>
      <c r="AK102" s="195"/>
      <c r="AL102" s="347"/>
      <c r="AM102" s="347"/>
      <c r="AN102" s="347"/>
      <c r="AO102" s="347"/>
      <c r="AP102" s="347"/>
      <c r="AQ102" s="347"/>
      <c r="AR102" s="347"/>
      <c r="AS102" s="347"/>
      <c r="AT102" s="195"/>
      <c r="AU102" s="347"/>
      <c r="AV102" s="347"/>
      <c r="AW102" s="347"/>
      <c r="AX102" s="347"/>
      <c r="AY102" s="347"/>
      <c r="AZ102" s="347"/>
      <c r="BA102" s="347"/>
      <c r="BB102" s="347"/>
      <c r="DF102" s="349"/>
      <c r="DI102" s="350"/>
    </row>
    <row r="103" spans="1:113" s="348" customFormat="1" ht="15.75" customHeight="1" hidden="1">
      <c r="A103" s="344"/>
      <c r="B103" s="345"/>
      <c r="C103" s="195"/>
      <c r="D103" s="195"/>
      <c r="E103" s="354"/>
      <c r="F103" s="195"/>
      <c r="G103" s="195">
        <v>13</v>
      </c>
      <c r="H103" s="195"/>
      <c r="I103" s="195">
        <v>1998</v>
      </c>
      <c r="J103" s="195"/>
      <c r="K103" s="195"/>
      <c r="L103" s="195">
        <v>1964</v>
      </c>
      <c r="M103" s="195"/>
      <c r="N103" s="195"/>
      <c r="O103" s="195"/>
      <c r="P103" s="195"/>
      <c r="Q103" s="195"/>
      <c r="R103" s="195"/>
      <c r="S103" s="195"/>
      <c r="T103" s="195">
        <f>IF(R90=2,13,"")</f>
      </c>
      <c r="U103" s="376"/>
      <c r="V103" s="195"/>
      <c r="W103" s="195"/>
      <c r="X103" s="195"/>
      <c r="Y103" s="195"/>
      <c r="Z103" s="195">
        <v>13</v>
      </c>
      <c r="AA103" s="195" t="s">
        <v>311</v>
      </c>
      <c r="AB103" s="195"/>
      <c r="AC103" s="195"/>
      <c r="AD103" s="195"/>
      <c r="AE103" s="195"/>
      <c r="AF103" s="195"/>
      <c r="AG103" s="195"/>
      <c r="AH103" s="195"/>
      <c r="AI103" s="195"/>
      <c r="AJ103" s="195">
        <v>1</v>
      </c>
      <c r="AK103" s="195" t="s">
        <v>501</v>
      </c>
      <c r="AL103" s="347"/>
      <c r="AM103" s="347"/>
      <c r="AN103" s="195">
        <v>1</v>
      </c>
      <c r="AO103" s="347" t="s">
        <v>501</v>
      </c>
      <c r="AP103" s="347"/>
      <c r="AQ103" s="347"/>
      <c r="AR103" s="347"/>
      <c r="AS103" s="347"/>
      <c r="AT103" s="195"/>
      <c r="AU103" s="347"/>
      <c r="AV103" s="347"/>
      <c r="AW103" s="347"/>
      <c r="AX103" s="347"/>
      <c r="AY103" s="347"/>
      <c r="AZ103" s="347"/>
      <c r="BA103" s="347"/>
      <c r="BB103" s="347"/>
      <c r="DF103" s="349"/>
      <c r="DI103" s="350"/>
    </row>
    <row r="104" spans="1:113" s="348" customFormat="1" ht="15.75" customHeight="1" hidden="1">
      <c r="A104" s="344"/>
      <c r="B104" s="345"/>
      <c r="C104" s="195"/>
      <c r="D104" s="195"/>
      <c r="E104" s="354"/>
      <c r="F104" s="195"/>
      <c r="G104" s="195">
        <v>14</v>
      </c>
      <c r="H104" s="195"/>
      <c r="I104" s="195">
        <v>1999</v>
      </c>
      <c r="J104" s="195"/>
      <c r="K104" s="195"/>
      <c r="L104" s="195">
        <v>1965</v>
      </c>
      <c r="M104" s="195"/>
      <c r="N104" s="195"/>
      <c r="O104" s="195"/>
      <c r="P104" s="195"/>
      <c r="Q104" s="195"/>
      <c r="R104" s="195"/>
      <c r="S104" s="195"/>
      <c r="T104" s="195">
        <f>IF(R90=2,14,"")</f>
      </c>
      <c r="U104" s="376"/>
      <c r="V104" s="195"/>
      <c r="W104" s="195"/>
      <c r="X104" s="195"/>
      <c r="Y104" s="195"/>
      <c r="Z104" s="195">
        <v>14</v>
      </c>
      <c r="AA104" s="195" t="s">
        <v>312</v>
      </c>
      <c r="AB104" s="195"/>
      <c r="AC104" s="195"/>
      <c r="AD104" s="195"/>
      <c r="AE104" s="195"/>
      <c r="AF104" s="195"/>
      <c r="AG104" s="195">
        <v>1</v>
      </c>
      <c r="AH104" s="195" t="str">
        <f>VLOOKUP(AG104,AG106:AH108,2,0)</f>
        <v>AGGPF</v>
      </c>
      <c r="AI104" s="195"/>
      <c r="AJ104" s="195">
        <v>2</v>
      </c>
      <c r="AK104" s="195" t="s">
        <v>477</v>
      </c>
      <c r="AL104" s="347"/>
      <c r="AM104" s="347"/>
      <c r="AN104" s="195">
        <v>2</v>
      </c>
      <c r="AO104" s="195" t="s">
        <v>502</v>
      </c>
      <c r="AP104" s="347"/>
      <c r="AQ104" s="347"/>
      <c r="AR104" s="347"/>
      <c r="AS104" s="347"/>
      <c r="AT104" s="195"/>
      <c r="AU104" s="347"/>
      <c r="AV104" s="347"/>
      <c r="AW104" s="347"/>
      <c r="AX104" s="347"/>
      <c r="AY104" s="347"/>
      <c r="AZ104" s="347"/>
      <c r="BA104" s="347"/>
      <c r="BB104" s="347"/>
      <c r="DF104" s="349"/>
      <c r="DI104" s="350"/>
    </row>
    <row r="105" spans="1:113" s="348" customFormat="1" ht="15.75" customHeight="1" hidden="1">
      <c r="A105" s="344"/>
      <c r="B105" s="345"/>
      <c r="C105" s="195"/>
      <c r="D105" s="195"/>
      <c r="E105" s="354"/>
      <c r="F105" s="195"/>
      <c r="G105" s="195">
        <v>15</v>
      </c>
      <c r="H105" s="195"/>
      <c r="I105" s="195">
        <v>2000</v>
      </c>
      <c r="J105" s="195"/>
      <c r="K105" s="195"/>
      <c r="L105" s="195">
        <v>1966</v>
      </c>
      <c r="M105" s="195"/>
      <c r="N105" s="195"/>
      <c r="O105" s="195"/>
      <c r="P105" s="195"/>
      <c r="Q105" s="195"/>
      <c r="R105" s="195"/>
      <c r="S105" s="195"/>
      <c r="T105" s="195">
        <f>IF(R90=2,15,"")</f>
      </c>
      <c r="U105" s="195"/>
      <c r="V105" s="195"/>
      <c r="W105" s="195"/>
      <c r="X105" s="195"/>
      <c r="Y105" s="195"/>
      <c r="Z105" s="195">
        <v>15</v>
      </c>
      <c r="AA105" s="195" t="s">
        <v>313</v>
      </c>
      <c r="AB105" s="195"/>
      <c r="AC105" s="195"/>
      <c r="AD105" s="195"/>
      <c r="AE105" s="195"/>
      <c r="AF105" s="195"/>
      <c r="AG105" s="195"/>
      <c r="AH105" s="195"/>
      <c r="AI105" s="195"/>
      <c r="AJ105" s="195">
        <v>3</v>
      </c>
      <c r="AK105" s="195" t="s">
        <v>478</v>
      </c>
      <c r="AL105" s="347"/>
      <c r="AM105" s="347"/>
      <c r="AN105" s="195">
        <v>3</v>
      </c>
      <c r="AO105" s="195" t="s">
        <v>503</v>
      </c>
      <c r="AP105" s="347"/>
      <c r="AQ105" s="347"/>
      <c r="AR105" s="347"/>
      <c r="AS105" s="347"/>
      <c r="AT105" s="195"/>
      <c r="AU105" s="347"/>
      <c r="AV105" s="347"/>
      <c r="AW105" s="347"/>
      <c r="AX105" s="347"/>
      <c r="AY105" s="347"/>
      <c r="AZ105" s="347"/>
      <c r="BA105" s="347"/>
      <c r="BB105" s="347"/>
      <c r="DF105" s="349"/>
      <c r="DI105" s="350"/>
    </row>
    <row r="106" spans="1:113" s="348" customFormat="1" ht="15.75" customHeight="1" hidden="1">
      <c r="A106" s="344"/>
      <c r="B106" s="345"/>
      <c r="C106" s="195"/>
      <c r="D106" s="195"/>
      <c r="E106" s="354"/>
      <c r="F106" s="195"/>
      <c r="G106" s="195">
        <v>16</v>
      </c>
      <c r="H106" s="195"/>
      <c r="I106" s="195">
        <v>2001</v>
      </c>
      <c r="J106" s="195"/>
      <c r="K106" s="195"/>
      <c r="L106" s="195">
        <v>1967</v>
      </c>
      <c r="M106" s="195"/>
      <c r="N106" s="195"/>
      <c r="O106" s="195"/>
      <c r="P106" s="195"/>
      <c r="Q106" s="195"/>
      <c r="R106" s="195"/>
      <c r="S106" s="195"/>
      <c r="T106" s="195">
        <f>IF(R90=2,16,"")</f>
      </c>
      <c r="U106" s="195"/>
      <c r="V106" s="195"/>
      <c r="W106" s="195"/>
      <c r="X106" s="195"/>
      <c r="Y106" s="195"/>
      <c r="Z106" s="195">
        <v>16</v>
      </c>
      <c r="AA106" s="195" t="s">
        <v>314</v>
      </c>
      <c r="AB106" s="195"/>
      <c r="AC106" s="195"/>
      <c r="AD106" s="195"/>
      <c r="AE106" s="195"/>
      <c r="AF106" s="195"/>
      <c r="AG106" s="195">
        <v>1</v>
      </c>
      <c r="AH106" s="195" t="s">
        <v>469</v>
      </c>
      <c r="AI106" s="195"/>
      <c r="AJ106" s="195">
        <v>4</v>
      </c>
      <c r="AK106" s="195" t="s">
        <v>479</v>
      </c>
      <c r="AL106" s="347"/>
      <c r="AM106" s="347"/>
      <c r="AN106" s="195">
        <v>4</v>
      </c>
      <c r="AO106" s="195" t="s">
        <v>504</v>
      </c>
      <c r="AP106" s="347"/>
      <c r="AQ106" s="347"/>
      <c r="AR106" s="347"/>
      <c r="AS106" s="347"/>
      <c r="AT106" s="347"/>
      <c r="AU106" s="347"/>
      <c r="AV106" s="347"/>
      <c r="AW106" s="347"/>
      <c r="AX106" s="347"/>
      <c r="AY106" s="347"/>
      <c r="AZ106" s="347"/>
      <c r="BA106" s="347"/>
      <c r="BB106" s="347"/>
      <c r="DF106" s="349"/>
      <c r="DI106" s="350"/>
    </row>
    <row r="107" spans="1:113" s="348" customFormat="1" ht="15.75" customHeight="1" hidden="1">
      <c r="A107" s="344"/>
      <c r="B107" s="345"/>
      <c r="C107" s="195">
        <f>VLOOKUP(L79,C110:D139,2,0)</f>
        <v>6</v>
      </c>
      <c r="D107" s="195"/>
      <c r="E107" s="354"/>
      <c r="F107" s="195"/>
      <c r="G107" s="195">
        <v>17</v>
      </c>
      <c r="H107" s="195"/>
      <c r="I107" s="195">
        <v>2002</v>
      </c>
      <c r="J107" s="195"/>
      <c r="K107" s="195"/>
      <c r="L107" s="195">
        <v>1968</v>
      </c>
      <c r="M107" s="195"/>
      <c r="N107" s="195"/>
      <c r="O107" s="195"/>
      <c r="P107" s="195"/>
      <c r="Q107" s="195"/>
      <c r="R107" s="195"/>
      <c r="S107" s="195"/>
      <c r="T107" s="195">
        <f>IF(R90=2,17,"")</f>
      </c>
      <c r="U107" s="195"/>
      <c r="V107" s="195"/>
      <c r="W107" s="195"/>
      <c r="X107" s="195"/>
      <c r="Y107" s="195"/>
      <c r="Z107" s="195">
        <v>17</v>
      </c>
      <c r="AA107" s="195" t="s">
        <v>315</v>
      </c>
      <c r="AB107" s="195"/>
      <c r="AC107" s="195"/>
      <c r="AD107" s="195"/>
      <c r="AE107" s="195"/>
      <c r="AF107" s="195"/>
      <c r="AG107" s="195">
        <v>2</v>
      </c>
      <c r="AH107" s="195" t="s">
        <v>470</v>
      </c>
      <c r="AI107" s="195"/>
      <c r="AJ107" s="195">
        <v>5</v>
      </c>
      <c r="AK107" s="195" t="s">
        <v>480</v>
      </c>
      <c r="AL107" s="347"/>
      <c r="AM107" s="347"/>
      <c r="AN107" s="195">
        <v>5</v>
      </c>
      <c r="AO107" s="195" t="s">
        <v>505</v>
      </c>
      <c r="AP107" s="347"/>
      <c r="AQ107" s="347"/>
      <c r="AR107" s="347"/>
      <c r="AS107" s="347"/>
      <c r="AT107" s="347"/>
      <c r="AU107" s="347"/>
      <c r="AV107" s="347"/>
      <c r="AW107" s="347"/>
      <c r="AX107" s="347"/>
      <c r="AY107" s="347"/>
      <c r="AZ107" s="347"/>
      <c r="BA107" s="347"/>
      <c r="BB107" s="347"/>
      <c r="DF107" s="349"/>
      <c r="DI107" s="350"/>
    </row>
    <row r="108" spans="1:113" s="348" customFormat="1" ht="15.75" customHeight="1" hidden="1">
      <c r="A108" s="344"/>
      <c r="B108" s="345"/>
      <c r="C108" s="195">
        <f>P78</f>
        <v>6</v>
      </c>
      <c r="D108" s="195"/>
      <c r="E108" s="354"/>
      <c r="F108" s="195"/>
      <c r="G108" s="195">
        <v>18</v>
      </c>
      <c r="H108" s="195"/>
      <c r="I108" s="195">
        <v>2003</v>
      </c>
      <c r="J108" s="195"/>
      <c r="K108" s="195"/>
      <c r="L108" s="195">
        <v>1969</v>
      </c>
      <c r="M108" s="195"/>
      <c r="N108" s="195"/>
      <c r="O108" s="195"/>
      <c r="P108" s="195"/>
      <c r="Q108" s="195"/>
      <c r="R108" s="195"/>
      <c r="S108" s="195"/>
      <c r="T108" s="195">
        <f>IF(R90=2,18,"")</f>
      </c>
      <c r="U108" s="195"/>
      <c r="V108" s="195"/>
      <c r="W108" s="195"/>
      <c r="X108" s="195"/>
      <c r="Y108" s="195"/>
      <c r="Z108" s="195">
        <v>18</v>
      </c>
      <c r="AA108" s="195" t="s">
        <v>316</v>
      </c>
      <c r="AB108" s="195"/>
      <c r="AC108" s="195"/>
      <c r="AD108" s="195"/>
      <c r="AE108" s="195"/>
      <c r="AF108" s="195"/>
      <c r="AG108" s="195">
        <v>3</v>
      </c>
      <c r="AH108" s="195" t="s">
        <v>471</v>
      </c>
      <c r="AI108" s="195"/>
      <c r="AJ108" s="195">
        <v>6</v>
      </c>
      <c r="AK108" s="195" t="s">
        <v>481</v>
      </c>
      <c r="AL108" s="347"/>
      <c r="AM108" s="347"/>
      <c r="AN108" s="195">
        <v>6</v>
      </c>
      <c r="AO108" s="195" t="s">
        <v>506</v>
      </c>
      <c r="AP108" s="347"/>
      <c r="AQ108" s="347"/>
      <c r="AR108" s="347"/>
      <c r="AS108" s="347"/>
      <c r="AT108" s="347"/>
      <c r="AU108" s="347"/>
      <c r="AV108" s="347"/>
      <c r="AW108" s="347"/>
      <c r="AX108" s="347"/>
      <c r="AY108" s="347"/>
      <c r="AZ108" s="347"/>
      <c r="BA108" s="347"/>
      <c r="BB108" s="347"/>
      <c r="DF108" s="349"/>
      <c r="DI108" s="350"/>
    </row>
    <row r="109" spans="1:113" s="348" customFormat="1" ht="15.75" customHeight="1" hidden="1">
      <c r="A109" s="344"/>
      <c r="B109" s="345"/>
      <c r="C109" s="195"/>
      <c r="D109" s="195"/>
      <c r="E109" s="354"/>
      <c r="F109" s="195"/>
      <c r="G109" s="195">
        <v>19</v>
      </c>
      <c r="H109" s="195"/>
      <c r="I109" s="195">
        <v>2004</v>
      </c>
      <c r="J109" s="195"/>
      <c r="K109" s="195"/>
      <c r="L109" s="195">
        <v>1970</v>
      </c>
      <c r="M109" s="195"/>
      <c r="N109" s="195"/>
      <c r="O109" s="195">
        <v>1</v>
      </c>
      <c r="P109" s="195" t="s">
        <v>27</v>
      </c>
      <c r="Q109" s="195"/>
      <c r="R109" s="195"/>
      <c r="S109" s="195"/>
      <c r="T109" s="195">
        <f>IF(R90=2,19,"")</f>
      </c>
      <c r="U109" s="195"/>
      <c r="V109" s="195"/>
      <c r="W109" s="195"/>
      <c r="X109" s="195"/>
      <c r="Y109" s="195"/>
      <c r="Z109" s="195">
        <v>19</v>
      </c>
      <c r="AA109" s="195" t="s">
        <v>317</v>
      </c>
      <c r="AB109" s="195"/>
      <c r="AC109" s="195"/>
      <c r="AD109" s="195"/>
      <c r="AE109" s="195"/>
      <c r="AF109" s="195"/>
      <c r="AG109" s="195"/>
      <c r="AH109" s="195"/>
      <c r="AI109" s="195"/>
      <c r="AJ109" s="195">
        <v>7</v>
      </c>
      <c r="AK109" s="195" t="s">
        <v>482</v>
      </c>
      <c r="AL109" s="347"/>
      <c r="AM109" s="347"/>
      <c r="AN109" s="195">
        <v>7</v>
      </c>
      <c r="AO109" s="195" t="s">
        <v>507</v>
      </c>
      <c r="AP109" s="347"/>
      <c r="AQ109" s="347"/>
      <c r="AR109" s="347"/>
      <c r="AS109" s="347"/>
      <c r="AT109" s="347"/>
      <c r="AU109" s="347"/>
      <c r="AV109" s="347"/>
      <c r="AW109" s="347"/>
      <c r="AX109" s="347"/>
      <c r="AY109" s="347"/>
      <c r="AZ109" s="347"/>
      <c r="BA109" s="347"/>
      <c r="BB109" s="347"/>
      <c r="DF109" s="349"/>
      <c r="DI109" s="350"/>
    </row>
    <row r="110" spans="1:113" s="348" customFormat="1" ht="15.75" customHeight="1" hidden="1">
      <c r="A110" s="344"/>
      <c r="B110" s="345"/>
      <c r="C110" s="354">
        <v>0</v>
      </c>
      <c r="D110" s="354">
        <v>0</v>
      </c>
      <c r="E110" s="354"/>
      <c r="F110" s="195"/>
      <c r="G110" s="195">
        <v>20</v>
      </c>
      <c r="H110" s="195"/>
      <c r="I110" s="195">
        <v>2005</v>
      </c>
      <c r="J110" s="195"/>
      <c r="K110" s="195"/>
      <c r="L110" s="195">
        <v>1971</v>
      </c>
      <c r="M110" s="195"/>
      <c r="N110" s="195"/>
      <c r="O110" s="195">
        <v>2</v>
      </c>
      <c r="P110" s="195" t="s">
        <v>279</v>
      </c>
      <c r="Q110" s="195"/>
      <c r="R110" s="195"/>
      <c r="S110" s="195"/>
      <c r="T110" s="195">
        <f>IF(R90=2,20,"")</f>
      </c>
      <c r="U110" s="195"/>
      <c r="V110" s="195"/>
      <c r="W110" s="195"/>
      <c r="X110" s="195"/>
      <c r="Y110" s="195"/>
      <c r="Z110" s="195">
        <v>20</v>
      </c>
      <c r="AA110" s="195" t="s">
        <v>318</v>
      </c>
      <c r="AB110" s="195"/>
      <c r="AC110" s="195"/>
      <c r="AD110" s="195"/>
      <c r="AE110" s="195"/>
      <c r="AF110" s="195"/>
      <c r="AG110" s="195"/>
      <c r="AH110" s="195"/>
      <c r="AI110" s="195"/>
      <c r="AJ110" s="195">
        <v>8</v>
      </c>
      <c r="AK110" s="195" t="s">
        <v>483</v>
      </c>
      <c r="AL110" s="347"/>
      <c r="AM110" s="347"/>
      <c r="AN110" s="195">
        <v>8</v>
      </c>
      <c r="AO110" s="195" t="s">
        <v>508</v>
      </c>
      <c r="AP110" s="347"/>
      <c r="AQ110" s="347"/>
      <c r="AR110" s="347"/>
      <c r="AS110" s="347"/>
      <c r="AT110" s="347"/>
      <c r="AU110" s="347"/>
      <c r="AV110" s="347"/>
      <c r="AW110" s="347"/>
      <c r="AX110" s="347"/>
      <c r="AY110" s="347"/>
      <c r="AZ110" s="347"/>
      <c r="BA110" s="347"/>
      <c r="BB110" s="347"/>
      <c r="DF110" s="349"/>
      <c r="DI110" s="350"/>
    </row>
    <row r="111" spans="1:113" s="348" customFormat="1" ht="15.75" customHeight="1" hidden="1">
      <c r="A111" s="344"/>
      <c r="B111" s="345"/>
      <c r="C111" s="354">
        <v>1</v>
      </c>
      <c r="D111" s="354">
        <v>0</v>
      </c>
      <c r="E111" s="354"/>
      <c r="F111" s="195"/>
      <c r="G111" s="195">
        <v>21</v>
      </c>
      <c r="H111" s="195"/>
      <c r="I111" s="195">
        <v>2006</v>
      </c>
      <c r="J111" s="195"/>
      <c r="K111" s="195"/>
      <c r="L111" s="195">
        <v>1972</v>
      </c>
      <c r="M111" s="195"/>
      <c r="N111" s="195"/>
      <c r="O111" s="195">
        <v>3</v>
      </c>
      <c r="P111" s="195" t="s">
        <v>473</v>
      </c>
      <c r="Q111" s="195"/>
      <c r="R111" s="195"/>
      <c r="S111" s="195"/>
      <c r="T111" s="195">
        <f>IF(R90=2,21,"")</f>
      </c>
      <c r="U111" s="195"/>
      <c r="V111" s="195"/>
      <c r="W111" s="195"/>
      <c r="X111" s="195"/>
      <c r="Y111" s="195"/>
      <c r="Z111" s="195">
        <v>21</v>
      </c>
      <c r="AA111" s="195" t="s">
        <v>319</v>
      </c>
      <c r="AB111" s="195"/>
      <c r="AC111" s="195"/>
      <c r="AD111" s="195"/>
      <c r="AE111" s="195"/>
      <c r="AF111" s="195"/>
      <c r="AG111" s="195"/>
      <c r="AH111" s="195"/>
      <c r="AI111" s="195"/>
      <c r="AJ111" s="195">
        <v>9</v>
      </c>
      <c r="AK111" s="195" t="s">
        <v>484</v>
      </c>
      <c r="AL111" s="347"/>
      <c r="AM111" s="347"/>
      <c r="AN111" s="195">
        <v>9</v>
      </c>
      <c r="AO111" s="195" t="s">
        <v>509</v>
      </c>
      <c r="AP111" s="347"/>
      <c r="AQ111" s="347"/>
      <c r="AR111" s="347"/>
      <c r="AS111" s="347"/>
      <c r="AT111" s="347"/>
      <c r="AU111" s="347"/>
      <c r="AV111" s="347"/>
      <c r="AW111" s="347"/>
      <c r="AX111" s="347"/>
      <c r="AY111" s="347"/>
      <c r="AZ111" s="347"/>
      <c r="BA111" s="347"/>
      <c r="BB111" s="347"/>
      <c r="DF111" s="349"/>
      <c r="DI111" s="350"/>
    </row>
    <row r="112" spans="1:113" s="348" customFormat="1" ht="15.75" customHeight="1" hidden="1">
      <c r="A112" s="344"/>
      <c r="B112" s="345"/>
      <c r="C112" s="354">
        <v>2</v>
      </c>
      <c r="D112" s="354">
        <v>0</v>
      </c>
      <c r="E112" s="354"/>
      <c r="F112" s="195"/>
      <c r="G112" s="195">
        <v>22</v>
      </c>
      <c r="H112" s="195"/>
      <c r="I112" s="195">
        <v>2007</v>
      </c>
      <c r="J112" s="195"/>
      <c r="K112" s="195"/>
      <c r="L112" s="195">
        <v>1973</v>
      </c>
      <c r="M112" s="195"/>
      <c r="N112" s="195"/>
      <c r="O112" s="195">
        <v>4</v>
      </c>
      <c r="P112" s="195" t="s">
        <v>474</v>
      </c>
      <c r="Q112" s="195"/>
      <c r="R112" s="195"/>
      <c r="S112" s="195"/>
      <c r="T112" s="195">
        <f>IF(R90=2,22,"")</f>
      </c>
      <c r="U112" s="195"/>
      <c r="V112" s="195"/>
      <c r="W112" s="195"/>
      <c r="X112" s="195"/>
      <c r="Y112" s="195"/>
      <c r="Z112" s="195">
        <v>22</v>
      </c>
      <c r="AA112" s="195" t="s">
        <v>320</v>
      </c>
      <c r="AB112" s="195"/>
      <c r="AC112" s="195"/>
      <c r="AD112" s="195"/>
      <c r="AE112" s="195"/>
      <c r="AF112" s="195"/>
      <c r="AG112" s="195"/>
      <c r="AH112" s="195"/>
      <c r="AI112" s="195"/>
      <c r="AJ112" s="195">
        <v>10</v>
      </c>
      <c r="AK112" s="195" t="s">
        <v>485</v>
      </c>
      <c r="AL112" s="347"/>
      <c r="AM112" s="347"/>
      <c r="AN112" s="195">
        <v>10</v>
      </c>
      <c r="AO112" s="195" t="s">
        <v>510</v>
      </c>
      <c r="AP112" s="347"/>
      <c r="AQ112" s="347"/>
      <c r="AR112" s="347"/>
      <c r="AS112" s="347"/>
      <c r="AT112" s="347"/>
      <c r="AU112" s="347"/>
      <c r="AV112" s="347"/>
      <c r="AW112" s="347"/>
      <c r="AX112" s="347"/>
      <c r="AY112" s="347"/>
      <c r="AZ112" s="347"/>
      <c r="BA112" s="347"/>
      <c r="BB112" s="347"/>
      <c r="DF112" s="349"/>
      <c r="DI112" s="350"/>
    </row>
    <row r="113" spans="1:113" s="348" customFormat="1" ht="15.75" customHeight="1" hidden="1">
      <c r="A113" s="344"/>
      <c r="B113" s="345"/>
      <c r="C113" s="354">
        <v>3</v>
      </c>
      <c r="D113" s="354">
        <v>0</v>
      </c>
      <c r="E113" s="354"/>
      <c r="F113" s="195"/>
      <c r="G113" s="195">
        <v>23</v>
      </c>
      <c r="H113" s="195"/>
      <c r="I113" s="195">
        <v>2008</v>
      </c>
      <c r="J113" s="195"/>
      <c r="K113" s="195"/>
      <c r="L113" s="195">
        <v>1974</v>
      </c>
      <c r="M113" s="195"/>
      <c r="N113" s="195"/>
      <c r="O113" s="195">
        <v>5</v>
      </c>
      <c r="P113" s="195" t="s">
        <v>281</v>
      </c>
      <c r="Q113" s="195"/>
      <c r="R113" s="195"/>
      <c r="S113" s="195"/>
      <c r="T113" s="195">
        <f>IF(R90=2,23,"")</f>
      </c>
      <c r="U113" s="195"/>
      <c r="V113" s="195"/>
      <c r="W113" s="195"/>
      <c r="X113" s="195"/>
      <c r="Y113" s="195"/>
      <c r="Z113" s="195">
        <v>23</v>
      </c>
      <c r="AA113" s="195" t="s">
        <v>321</v>
      </c>
      <c r="AB113" s="195"/>
      <c r="AC113" s="195"/>
      <c r="AD113" s="195"/>
      <c r="AE113" s="195"/>
      <c r="AF113" s="195"/>
      <c r="AG113" s="195"/>
      <c r="AH113" s="195"/>
      <c r="AI113" s="195"/>
      <c r="AJ113" s="195">
        <v>11</v>
      </c>
      <c r="AK113" s="195" t="s">
        <v>486</v>
      </c>
      <c r="AL113" s="347"/>
      <c r="AM113" s="347"/>
      <c r="AN113" s="195">
        <v>11</v>
      </c>
      <c r="AO113" s="195" t="s">
        <v>511</v>
      </c>
      <c r="AP113" s="347"/>
      <c r="AQ113" s="347"/>
      <c r="AR113" s="347"/>
      <c r="AS113" s="347"/>
      <c r="AT113" s="347"/>
      <c r="AU113" s="347"/>
      <c r="AV113" s="347"/>
      <c r="AW113" s="347"/>
      <c r="AX113" s="347"/>
      <c r="AY113" s="347"/>
      <c r="AZ113" s="347"/>
      <c r="BA113" s="347"/>
      <c r="BB113" s="347"/>
      <c r="DF113" s="349"/>
      <c r="DI113" s="350"/>
    </row>
    <row r="114" spans="1:113" s="348" customFormat="1" ht="15.75" customHeight="1" hidden="1">
      <c r="A114" s="344"/>
      <c r="B114" s="345"/>
      <c r="C114" s="354">
        <v>4</v>
      </c>
      <c r="D114" s="354">
        <v>6</v>
      </c>
      <c r="E114" s="354"/>
      <c r="F114" s="195"/>
      <c r="G114" s="195">
        <v>24</v>
      </c>
      <c r="H114" s="195"/>
      <c r="I114" s="195">
        <v>2009</v>
      </c>
      <c r="J114" s="195"/>
      <c r="K114" s="195"/>
      <c r="L114" s="195">
        <v>1975</v>
      </c>
      <c r="M114" s="195"/>
      <c r="N114" s="195"/>
      <c r="O114" s="195"/>
      <c r="P114" s="195"/>
      <c r="Q114" s="195"/>
      <c r="R114" s="195"/>
      <c r="S114" s="195"/>
      <c r="T114" s="195">
        <f>IF(R90=2,24,"")</f>
      </c>
      <c r="U114" s="195"/>
      <c r="V114" s="195"/>
      <c r="W114" s="195"/>
      <c r="X114" s="195"/>
      <c r="Y114" s="195"/>
      <c r="Z114" s="195">
        <v>24</v>
      </c>
      <c r="AA114" s="195" t="s">
        <v>322</v>
      </c>
      <c r="AB114" s="195"/>
      <c r="AC114" s="195"/>
      <c r="AD114" s="195"/>
      <c r="AE114" s="195"/>
      <c r="AF114" s="195"/>
      <c r="AG114" s="195"/>
      <c r="AH114" s="195"/>
      <c r="AI114" s="195"/>
      <c r="AJ114" s="195">
        <v>12</v>
      </c>
      <c r="AK114" s="195" t="s">
        <v>487</v>
      </c>
      <c r="AL114" s="347"/>
      <c r="AM114" s="347"/>
      <c r="AN114" s="195">
        <v>12</v>
      </c>
      <c r="AO114" s="195" t="s">
        <v>512</v>
      </c>
      <c r="AP114" s="347"/>
      <c r="AQ114" s="347"/>
      <c r="AR114" s="347"/>
      <c r="AS114" s="347"/>
      <c r="AT114" s="347"/>
      <c r="AU114" s="347"/>
      <c r="AV114" s="347"/>
      <c r="AW114" s="347"/>
      <c r="AX114" s="347"/>
      <c r="AY114" s="347"/>
      <c r="AZ114" s="347"/>
      <c r="BA114" s="347"/>
      <c r="BB114" s="347"/>
      <c r="DF114" s="349"/>
      <c r="DI114" s="350"/>
    </row>
    <row r="115" spans="1:113" s="348" customFormat="1" ht="15.75" customHeight="1" hidden="1">
      <c r="A115" s="344"/>
      <c r="B115" s="345"/>
      <c r="C115" s="354">
        <v>5</v>
      </c>
      <c r="D115" s="354">
        <v>6</v>
      </c>
      <c r="E115" s="354"/>
      <c r="F115" s="195"/>
      <c r="G115" s="195">
        <v>25</v>
      </c>
      <c r="H115" s="195"/>
      <c r="I115" s="195">
        <v>2010</v>
      </c>
      <c r="J115" s="195"/>
      <c r="K115" s="195"/>
      <c r="L115" s="195">
        <v>1976</v>
      </c>
      <c r="M115" s="195"/>
      <c r="N115" s="195"/>
      <c r="O115" s="195">
        <v>1</v>
      </c>
      <c r="P115" s="195"/>
      <c r="Q115" s="195"/>
      <c r="R115" s="195"/>
      <c r="S115" s="195"/>
      <c r="T115" s="195">
        <f>IF(R90=2,25,"")</f>
      </c>
      <c r="U115" s="195"/>
      <c r="V115" s="195"/>
      <c r="W115" s="195"/>
      <c r="X115" s="195"/>
      <c r="Y115" s="195"/>
      <c r="Z115" s="195">
        <v>25</v>
      </c>
      <c r="AA115" s="195"/>
      <c r="AB115" s="195"/>
      <c r="AC115" s="195"/>
      <c r="AD115" s="195"/>
      <c r="AE115" s="195"/>
      <c r="AF115" s="195"/>
      <c r="AG115" s="195"/>
      <c r="AH115" s="195"/>
      <c r="AI115" s="195"/>
      <c r="AJ115" s="195">
        <v>13</v>
      </c>
      <c r="AK115" s="195" t="s">
        <v>488</v>
      </c>
      <c r="AL115" s="347"/>
      <c r="AM115" s="347"/>
      <c r="AN115" s="195">
        <v>13</v>
      </c>
      <c r="AO115" s="195" t="s">
        <v>513</v>
      </c>
      <c r="AP115" s="347"/>
      <c r="AQ115" s="347"/>
      <c r="AR115" s="347"/>
      <c r="AS115" s="347"/>
      <c r="AT115" s="347"/>
      <c r="AU115" s="347"/>
      <c r="AV115" s="347"/>
      <c r="AW115" s="347"/>
      <c r="AX115" s="347"/>
      <c r="AY115" s="347"/>
      <c r="AZ115" s="347"/>
      <c r="BA115" s="347"/>
      <c r="BB115" s="347"/>
      <c r="DF115" s="349"/>
      <c r="DI115" s="350"/>
    </row>
    <row r="116" spans="1:113" s="348" customFormat="1" ht="15.75" customHeight="1" hidden="1">
      <c r="A116" s="344"/>
      <c r="B116" s="345"/>
      <c r="C116" s="354">
        <v>6</v>
      </c>
      <c r="D116" s="354">
        <v>6</v>
      </c>
      <c r="E116" s="382" t="s">
        <v>247</v>
      </c>
      <c r="F116" s="195"/>
      <c r="G116" s="195">
        <v>26</v>
      </c>
      <c r="H116" s="195"/>
      <c r="I116" s="195">
        <v>2011</v>
      </c>
      <c r="J116" s="195"/>
      <c r="K116" s="195"/>
      <c r="L116" s="195">
        <v>1977</v>
      </c>
      <c r="M116" s="195"/>
      <c r="N116" s="195"/>
      <c r="O116" s="195">
        <v>5</v>
      </c>
      <c r="P116" s="195"/>
      <c r="Q116" s="195"/>
      <c r="R116" s="195"/>
      <c r="S116" s="195"/>
      <c r="T116" s="195">
        <f>IF(R90=2,26,"")</f>
      </c>
      <c r="U116" s="195"/>
      <c r="V116" s="195"/>
      <c r="W116" s="195"/>
      <c r="X116" s="195"/>
      <c r="Y116" s="195"/>
      <c r="Z116" s="195">
        <v>26</v>
      </c>
      <c r="AA116" s="195"/>
      <c r="AB116" s="195"/>
      <c r="AC116" s="195"/>
      <c r="AD116" s="195"/>
      <c r="AE116" s="195"/>
      <c r="AF116" s="195"/>
      <c r="AG116" s="195"/>
      <c r="AH116" s="195"/>
      <c r="AI116" s="195"/>
      <c r="AJ116" s="195">
        <v>14</v>
      </c>
      <c r="AK116" s="195" t="s">
        <v>489</v>
      </c>
      <c r="AL116" s="347"/>
      <c r="AM116" s="347"/>
      <c r="AN116" s="195">
        <v>14</v>
      </c>
      <c r="AO116" s="195" t="s">
        <v>514</v>
      </c>
      <c r="AP116" s="347"/>
      <c r="AQ116" s="347"/>
      <c r="AR116" s="347"/>
      <c r="AS116" s="347"/>
      <c r="AT116" s="347"/>
      <c r="AU116" s="347"/>
      <c r="AV116" s="347"/>
      <c r="AW116" s="347"/>
      <c r="AX116" s="347"/>
      <c r="AY116" s="347"/>
      <c r="AZ116" s="347"/>
      <c r="BA116" s="347"/>
      <c r="BB116" s="347"/>
      <c r="DF116" s="349"/>
      <c r="DI116" s="350"/>
    </row>
    <row r="117" spans="1:113" s="348" customFormat="1" ht="15.75" customHeight="1" hidden="1">
      <c r="A117" s="344"/>
      <c r="B117" s="345"/>
      <c r="C117" s="354">
        <v>7</v>
      </c>
      <c r="D117" s="354">
        <v>6</v>
      </c>
      <c r="E117" s="382" t="s">
        <v>247</v>
      </c>
      <c r="F117" s="195"/>
      <c r="G117" s="195">
        <v>27</v>
      </c>
      <c r="H117" s="195"/>
      <c r="I117" s="195">
        <v>2012</v>
      </c>
      <c r="J117" s="195"/>
      <c r="K117" s="195"/>
      <c r="L117" s="195">
        <v>1978</v>
      </c>
      <c r="M117" s="195"/>
      <c r="N117" s="195"/>
      <c r="O117" s="195">
        <v>5</v>
      </c>
      <c r="P117" s="195"/>
      <c r="Q117" s="195"/>
      <c r="R117" s="195"/>
      <c r="S117" s="195"/>
      <c r="T117" s="195">
        <f>IF(R90=2,27,"")</f>
      </c>
      <c r="U117" s="195"/>
      <c r="V117" s="195"/>
      <c r="W117" s="195"/>
      <c r="X117" s="195"/>
      <c r="Y117" s="195"/>
      <c r="Z117" s="195">
        <v>27</v>
      </c>
      <c r="AA117" s="195"/>
      <c r="AB117" s="195"/>
      <c r="AC117" s="195"/>
      <c r="AD117" s="195"/>
      <c r="AE117" s="195"/>
      <c r="AF117" s="195"/>
      <c r="AG117" s="195"/>
      <c r="AH117" s="195"/>
      <c r="AI117" s="195"/>
      <c r="AJ117" s="195">
        <v>15</v>
      </c>
      <c r="AK117" s="195" t="s">
        <v>490</v>
      </c>
      <c r="AL117" s="347"/>
      <c r="AM117" s="347"/>
      <c r="AN117" s="195">
        <v>15</v>
      </c>
      <c r="AO117" s="195" t="s">
        <v>515</v>
      </c>
      <c r="AP117" s="347"/>
      <c r="AQ117" s="347"/>
      <c r="AR117" s="347"/>
      <c r="AS117" s="347"/>
      <c r="AT117" s="347"/>
      <c r="AU117" s="347"/>
      <c r="AV117" s="347"/>
      <c r="AW117" s="347"/>
      <c r="AX117" s="347"/>
      <c r="AY117" s="347"/>
      <c r="AZ117" s="347"/>
      <c r="BA117" s="347"/>
      <c r="BB117" s="347"/>
      <c r="DF117" s="349"/>
      <c r="DI117" s="350"/>
    </row>
    <row r="118" spans="1:113" s="348" customFormat="1" ht="15.75" customHeight="1" hidden="1">
      <c r="A118" s="344"/>
      <c r="B118" s="345"/>
      <c r="C118" s="354">
        <v>8</v>
      </c>
      <c r="D118" s="354">
        <v>6</v>
      </c>
      <c r="E118" s="382" t="s">
        <v>247</v>
      </c>
      <c r="F118" s="195"/>
      <c r="G118" s="195">
        <v>28</v>
      </c>
      <c r="H118" s="195"/>
      <c r="I118" s="195"/>
      <c r="J118" s="195"/>
      <c r="K118" s="195"/>
      <c r="L118" s="195">
        <v>1979</v>
      </c>
      <c r="M118" s="195"/>
      <c r="N118" s="195"/>
      <c r="O118" s="195">
        <v>5</v>
      </c>
      <c r="P118" s="195"/>
      <c r="Q118" s="195"/>
      <c r="R118" s="195"/>
      <c r="S118" s="195"/>
      <c r="T118" s="195">
        <f>IF(R90=2,28,"")</f>
      </c>
      <c r="U118" s="195"/>
      <c r="V118" s="195"/>
      <c r="W118" s="195"/>
      <c r="X118" s="195"/>
      <c r="Y118" s="195"/>
      <c r="Z118" s="195"/>
      <c r="AA118" s="195"/>
      <c r="AB118" s="195"/>
      <c r="AC118" s="195"/>
      <c r="AD118" s="195"/>
      <c r="AE118" s="195"/>
      <c r="AF118" s="195"/>
      <c r="AG118" s="195"/>
      <c r="AH118" s="195"/>
      <c r="AI118" s="195"/>
      <c r="AJ118" s="195">
        <v>16</v>
      </c>
      <c r="AK118" s="195" t="s">
        <v>491</v>
      </c>
      <c r="AL118" s="347"/>
      <c r="AM118" s="347"/>
      <c r="AN118" s="195">
        <v>16</v>
      </c>
      <c r="AO118" s="195" t="s">
        <v>516</v>
      </c>
      <c r="AP118" s="347"/>
      <c r="AQ118" s="347"/>
      <c r="AR118" s="347"/>
      <c r="AS118" s="347"/>
      <c r="AT118" s="347"/>
      <c r="AU118" s="347"/>
      <c r="AV118" s="347"/>
      <c r="AW118" s="347"/>
      <c r="AX118" s="347"/>
      <c r="AY118" s="347"/>
      <c r="AZ118" s="347"/>
      <c r="BA118" s="347"/>
      <c r="BB118" s="347"/>
      <c r="DF118" s="349"/>
      <c r="DI118" s="350"/>
    </row>
    <row r="119" spans="1:113" s="348" customFormat="1" ht="15.75" customHeight="1" hidden="1">
      <c r="A119" s="344"/>
      <c r="B119" s="345"/>
      <c r="C119" s="354">
        <v>9</v>
      </c>
      <c r="D119" s="354">
        <v>6</v>
      </c>
      <c r="E119" s="382" t="s">
        <v>247</v>
      </c>
      <c r="F119" s="195"/>
      <c r="G119" s="195">
        <v>29</v>
      </c>
      <c r="H119" s="195"/>
      <c r="I119" s="195"/>
      <c r="J119" s="195"/>
      <c r="K119" s="195"/>
      <c r="L119" s="195">
        <v>1980</v>
      </c>
      <c r="M119" s="195"/>
      <c r="N119" s="195"/>
      <c r="O119" s="195">
        <v>5</v>
      </c>
      <c r="P119" s="195"/>
      <c r="Q119" s="195"/>
      <c r="R119" s="195"/>
      <c r="S119" s="195"/>
      <c r="T119" s="195">
        <f>IF(R90=2,29,"")</f>
      </c>
      <c r="U119" s="195"/>
      <c r="V119" s="195"/>
      <c r="W119" s="195"/>
      <c r="X119" s="195"/>
      <c r="Y119" s="195"/>
      <c r="Z119" s="195"/>
      <c r="AA119" s="195"/>
      <c r="AB119" s="195"/>
      <c r="AC119" s="195"/>
      <c r="AD119" s="195"/>
      <c r="AE119" s="195"/>
      <c r="AF119" s="195"/>
      <c r="AG119" s="195"/>
      <c r="AH119" s="195"/>
      <c r="AI119" s="195"/>
      <c r="AJ119" s="195">
        <v>17</v>
      </c>
      <c r="AK119" s="195" t="s">
        <v>492</v>
      </c>
      <c r="AL119" s="347"/>
      <c r="AM119" s="347"/>
      <c r="AN119" s="195">
        <v>17</v>
      </c>
      <c r="AO119" s="195" t="s">
        <v>517</v>
      </c>
      <c r="AP119" s="347"/>
      <c r="AQ119" s="347"/>
      <c r="AR119" s="347"/>
      <c r="AS119" s="347"/>
      <c r="AT119" s="347"/>
      <c r="AU119" s="347"/>
      <c r="AV119" s="347"/>
      <c r="AW119" s="347"/>
      <c r="AX119" s="347"/>
      <c r="AY119" s="347"/>
      <c r="AZ119" s="347"/>
      <c r="BA119" s="347"/>
      <c r="BB119" s="347"/>
      <c r="DF119" s="349"/>
      <c r="DI119" s="350"/>
    </row>
    <row r="120" spans="1:113" s="348" customFormat="1" ht="15.75" customHeight="1" hidden="1">
      <c r="A120" s="344"/>
      <c r="B120" s="345"/>
      <c r="C120" s="354">
        <v>10</v>
      </c>
      <c r="D120" s="354">
        <v>12</v>
      </c>
      <c r="E120" s="382" t="s">
        <v>247</v>
      </c>
      <c r="F120" s="195"/>
      <c r="G120" s="195">
        <v>30</v>
      </c>
      <c r="H120" s="195"/>
      <c r="I120" s="195"/>
      <c r="J120" s="195"/>
      <c r="K120" s="195"/>
      <c r="L120" s="195">
        <v>1981</v>
      </c>
      <c r="M120" s="195"/>
      <c r="N120" s="195"/>
      <c r="O120" s="195"/>
      <c r="P120" s="195"/>
      <c r="Q120" s="195"/>
      <c r="R120" s="195"/>
      <c r="S120" s="195"/>
      <c r="T120" s="195">
        <f>IF(R90=2,30,"")</f>
      </c>
      <c r="U120" s="195"/>
      <c r="V120" s="195"/>
      <c r="W120" s="195"/>
      <c r="X120" s="195"/>
      <c r="Y120" s="195"/>
      <c r="Z120" s="195"/>
      <c r="AA120" s="195"/>
      <c r="AB120" s="195"/>
      <c r="AC120" s="195"/>
      <c r="AD120" s="195"/>
      <c r="AE120" s="195"/>
      <c r="AF120" s="195"/>
      <c r="AG120" s="195"/>
      <c r="AH120" s="195"/>
      <c r="AI120" s="195"/>
      <c r="AJ120" s="195">
        <v>18</v>
      </c>
      <c r="AK120" s="195" t="s">
        <v>493</v>
      </c>
      <c r="AL120" s="347"/>
      <c r="AM120" s="347"/>
      <c r="AN120" s="195">
        <v>18</v>
      </c>
      <c r="AO120" s="195" t="s">
        <v>518</v>
      </c>
      <c r="AP120" s="347"/>
      <c r="AQ120" s="347"/>
      <c r="AR120" s="347"/>
      <c r="AS120" s="347"/>
      <c r="AT120" s="347"/>
      <c r="AU120" s="347"/>
      <c r="AV120" s="347"/>
      <c r="AW120" s="347"/>
      <c r="AX120" s="347"/>
      <c r="AY120" s="347"/>
      <c r="AZ120" s="347"/>
      <c r="BA120" s="347"/>
      <c r="BB120" s="347"/>
      <c r="DF120" s="349"/>
      <c r="DI120" s="350"/>
    </row>
    <row r="121" spans="1:113" s="348" customFormat="1" ht="15.75" customHeight="1" hidden="1">
      <c r="A121" s="344"/>
      <c r="B121" s="345"/>
      <c r="C121" s="354">
        <v>11</v>
      </c>
      <c r="D121" s="354">
        <v>12</v>
      </c>
      <c r="E121" s="382" t="s">
        <v>247</v>
      </c>
      <c r="F121" s="195"/>
      <c r="G121" s="195">
        <v>31</v>
      </c>
      <c r="H121" s="195"/>
      <c r="I121" s="195"/>
      <c r="J121" s="195"/>
      <c r="K121" s="195"/>
      <c r="L121" s="195">
        <v>1982</v>
      </c>
      <c r="M121" s="195"/>
      <c r="N121" s="195"/>
      <c r="O121" s="195"/>
      <c r="P121" s="195"/>
      <c r="Q121" s="195"/>
      <c r="R121" s="195"/>
      <c r="S121" s="195"/>
      <c r="T121" s="195">
        <f>IF(R90=2,31,"")</f>
      </c>
      <c r="U121" s="195"/>
      <c r="V121" s="195"/>
      <c r="W121" s="195"/>
      <c r="X121" s="195"/>
      <c r="Y121" s="195"/>
      <c r="Z121" s="195"/>
      <c r="AA121" s="195"/>
      <c r="AB121" s="195"/>
      <c r="AC121" s="195"/>
      <c r="AD121" s="195"/>
      <c r="AE121" s="195"/>
      <c r="AF121" s="195"/>
      <c r="AG121" s="195"/>
      <c r="AH121" s="195"/>
      <c r="AI121" s="195"/>
      <c r="AJ121" s="195">
        <v>19</v>
      </c>
      <c r="AK121" s="195" t="s">
        <v>494</v>
      </c>
      <c r="AL121" s="347"/>
      <c r="AM121" s="347"/>
      <c r="AN121" s="195">
        <v>19</v>
      </c>
      <c r="AO121" s="195" t="s">
        <v>519</v>
      </c>
      <c r="AP121" s="347"/>
      <c r="AQ121" s="347"/>
      <c r="AR121" s="347"/>
      <c r="AS121" s="347"/>
      <c r="AT121" s="347"/>
      <c r="AU121" s="347"/>
      <c r="AV121" s="347"/>
      <c r="AW121" s="347"/>
      <c r="AX121" s="347"/>
      <c r="AY121" s="347"/>
      <c r="AZ121" s="347"/>
      <c r="BA121" s="347"/>
      <c r="BB121" s="347"/>
      <c r="DF121" s="349"/>
      <c r="DI121" s="350"/>
    </row>
    <row r="122" spans="1:113" s="348" customFormat="1" ht="15.75" customHeight="1" hidden="1">
      <c r="A122" s="344"/>
      <c r="B122" s="345"/>
      <c r="C122" s="354">
        <v>12</v>
      </c>
      <c r="D122" s="354">
        <v>12</v>
      </c>
      <c r="E122" s="382" t="s">
        <v>248</v>
      </c>
      <c r="F122" s="195"/>
      <c r="G122" s="195">
        <v>32</v>
      </c>
      <c r="H122" s="195"/>
      <c r="I122" s="195"/>
      <c r="J122" s="195"/>
      <c r="K122" s="195"/>
      <c r="L122" s="195">
        <v>1983</v>
      </c>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v>20</v>
      </c>
      <c r="AK122" s="195" t="s">
        <v>495</v>
      </c>
      <c r="AL122" s="347"/>
      <c r="AM122" s="347"/>
      <c r="AN122" s="195">
        <v>20</v>
      </c>
      <c r="AO122" s="195" t="s">
        <v>520</v>
      </c>
      <c r="AP122" s="347"/>
      <c r="AQ122" s="347"/>
      <c r="AR122" s="347"/>
      <c r="AS122" s="347"/>
      <c r="AT122" s="347"/>
      <c r="AU122" s="347"/>
      <c r="AV122" s="347"/>
      <c r="AW122" s="347"/>
      <c r="AX122" s="347"/>
      <c r="AY122" s="347"/>
      <c r="AZ122" s="347"/>
      <c r="BA122" s="347"/>
      <c r="BB122" s="347"/>
      <c r="DF122" s="349"/>
      <c r="DI122" s="350"/>
    </row>
    <row r="123" spans="1:113" s="348" customFormat="1" ht="15.75" customHeight="1" hidden="1">
      <c r="A123" s="344"/>
      <c r="B123" s="345"/>
      <c r="C123" s="354">
        <v>13</v>
      </c>
      <c r="D123" s="354">
        <v>12</v>
      </c>
      <c r="E123" s="382" t="s">
        <v>248</v>
      </c>
      <c r="F123" s="195"/>
      <c r="G123" s="195">
        <v>33</v>
      </c>
      <c r="H123" s="195"/>
      <c r="I123" s="195"/>
      <c r="J123" s="195"/>
      <c r="K123" s="195"/>
      <c r="L123" s="195">
        <v>1984</v>
      </c>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v>21</v>
      </c>
      <c r="AK123" s="195" t="s">
        <v>496</v>
      </c>
      <c r="AL123" s="347"/>
      <c r="AM123" s="347"/>
      <c r="AN123" s="195">
        <v>21</v>
      </c>
      <c r="AO123" s="195" t="s">
        <v>521</v>
      </c>
      <c r="AP123" s="347"/>
      <c r="AQ123" s="347"/>
      <c r="AR123" s="347"/>
      <c r="AS123" s="347"/>
      <c r="AT123" s="347"/>
      <c r="AU123" s="347"/>
      <c r="AV123" s="347"/>
      <c r="AW123" s="347"/>
      <c r="AX123" s="347"/>
      <c r="AY123" s="347"/>
      <c r="AZ123" s="347"/>
      <c r="BA123" s="347"/>
      <c r="BB123" s="347"/>
      <c r="DF123" s="349"/>
      <c r="DI123" s="350"/>
    </row>
    <row r="124" spans="1:113" s="348" customFormat="1" ht="15.75" customHeight="1" hidden="1">
      <c r="A124" s="344"/>
      <c r="B124" s="345"/>
      <c r="C124" s="354">
        <v>14</v>
      </c>
      <c r="D124" s="354">
        <v>12</v>
      </c>
      <c r="E124" s="382" t="s">
        <v>248</v>
      </c>
      <c r="F124" s="195"/>
      <c r="G124" s="195">
        <v>34</v>
      </c>
      <c r="H124" s="195"/>
      <c r="I124" s="195"/>
      <c r="J124" s="195"/>
      <c r="K124" s="195"/>
      <c r="L124" s="195">
        <v>1985</v>
      </c>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v>22</v>
      </c>
      <c r="AK124" s="195" t="s">
        <v>497</v>
      </c>
      <c r="AL124" s="347"/>
      <c r="AM124" s="347"/>
      <c r="AN124" s="195">
        <v>22</v>
      </c>
      <c r="AO124" s="195" t="s">
        <v>522</v>
      </c>
      <c r="AP124" s="347"/>
      <c r="AQ124" s="347"/>
      <c r="AR124" s="347"/>
      <c r="AS124" s="347"/>
      <c r="AT124" s="347"/>
      <c r="AU124" s="347"/>
      <c r="AV124" s="347"/>
      <c r="AW124" s="347"/>
      <c r="AX124" s="347"/>
      <c r="AY124" s="347"/>
      <c r="AZ124" s="347"/>
      <c r="BA124" s="347"/>
      <c r="BB124" s="347"/>
      <c r="DF124" s="349"/>
      <c r="DI124" s="350"/>
    </row>
    <row r="125" spans="1:113" s="348" customFormat="1" ht="15.75" customHeight="1" hidden="1">
      <c r="A125" s="344"/>
      <c r="B125" s="345"/>
      <c r="C125" s="354">
        <v>15</v>
      </c>
      <c r="D125" s="354">
        <v>12</v>
      </c>
      <c r="E125" s="382" t="s">
        <v>248</v>
      </c>
      <c r="F125" s="195"/>
      <c r="G125" s="195">
        <v>35</v>
      </c>
      <c r="H125" s="195"/>
      <c r="I125" s="195"/>
      <c r="J125" s="195"/>
      <c r="K125" s="195"/>
      <c r="L125" s="195">
        <v>1986</v>
      </c>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v>23</v>
      </c>
      <c r="AK125" s="195" t="s">
        <v>498</v>
      </c>
      <c r="AL125" s="347"/>
      <c r="AM125" s="347"/>
      <c r="AN125" s="195">
        <v>23</v>
      </c>
      <c r="AO125" s="195" t="s">
        <v>523</v>
      </c>
      <c r="AP125" s="347"/>
      <c r="AQ125" s="347"/>
      <c r="AR125" s="347"/>
      <c r="AS125" s="347"/>
      <c r="AT125" s="347"/>
      <c r="AU125" s="347"/>
      <c r="AV125" s="347"/>
      <c r="AW125" s="347"/>
      <c r="AX125" s="347"/>
      <c r="AY125" s="347"/>
      <c r="AZ125" s="347"/>
      <c r="BA125" s="347"/>
      <c r="BB125" s="347"/>
      <c r="DF125" s="349"/>
      <c r="DI125" s="350"/>
    </row>
    <row r="126" spans="1:113" s="348" customFormat="1" ht="15.75" customHeight="1" hidden="1">
      <c r="A126" s="344"/>
      <c r="B126" s="345"/>
      <c r="C126" s="354">
        <v>16</v>
      </c>
      <c r="D126" s="354">
        <v>12</v>
      </c>
      <c r="E126" s="382" t="s">
        <v>248</v>
      </c>
      <c r="F126" s="195"/>
      <c r="G126" s="195">
        <v>36</v>
      </c>
      <c r="H126" s="195"/>
      <c r="I126" s="195"/>
      <c r="J126" s="195"/>
      <c r="K126" s="195"/>
      <c r="L126" s="195">
        <v>1987</v>
      </c>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v>24</v>
      </c>
      <c r="AK126" s="195" t="s">
        <v>499</v>
      </c>
      <c r="AL126" s="347"/>
      <c r="AM126" s="347"/>
      <c r="AN126" s="195">
        <v>24</v>
      </c>
      <c r="AO126" s="195" t="s">
        <v>524</v>
      </c>
      <c r="AP126" s="347"/>
      <c r="AQ126" s="347"/>
      <c r="AR126" s="347"/>
      <c r="AS126" s="347"/>
      <c r="AT126" s="347"/>
      <c r="AU126" s="347"/>
      <c r="AV126" s="347"/>
      <c r="AW126" s="347"/>
      <c r="AX126" s="347"/>
      <c r="AY126" s="347"/>
      <c r="AZ126" s="347"/>
      <c r="BA126" s="347"/>
      <c r="BB126" s="347"/>
      <c r="DF126" s="349"/>
      <c r="DI126" s="350"/>
    </row>
    <row r="127" spans="1:113" s="348" customFormat="1" ht="15.75" customHeight="1" hidden="1">
      <c r="A127" s="344"/>
      <c r="B127" s="345"/>
      <c r="C127" s="354">
        <v>17</v>
      </c>
      <c r="D127" s="354">
        <v>18</v>
      </c>
      <c r="E127" s="382" t="s">
        <v>249</v>
      </c>
      <c r="F127" s="195"/>
      <c r="G127" s="195">
        <v>37</v>
      </c>
      <c r="H127" s="195"/>
      <c r="I127" s="195"/>
      <c r="J127" s="195"/>
      <c r="K127" s="195"/>
      <c r="L127" s="195">
        <v>1988</v>
      </c>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v>25</v>
      </c>
      <c r="AK127" s="195" t="s">
        <v>500</v>
      </c>
      <c r="AL127" s="347"/>
      <c r="AM127" s="347"/>
      <c r="AN127" s="195">
        <v>25</v>
      </c>
      <c r="AO127" s="195" t="s">
        <v>525</v>
      </c>
      <c r="AP127" s="347"/>
      <c r="AQ127" s="347"/>
      <c r="AR127" s="347"/>
      <c r="AS127" s="347"/>
      <c r="AT127" s="347"/>
      <c r="AU127" s="347"/>
      <c r="AV127" s="347"/>
      <c r="AW127" s="347"/>
      <c r="AX127" s="347"/>
      <c r="AY127" s="347"/>
      <c r="AZ127" s="347"/>
      <c r="BA127" s="347"/>
      <c r="BB127" s="347"/>
      <c r="DF127" s="349"/>
      <c r="DI127" s="350"/>
    </row>
    <row r="128" spans="1:113" s="348" customFormat="1" ht="15.75" customHeight="1" hidden="1">
      <c r="A128" s="344"/>
      <c r="B128" s="345"/>
      <c r="C128" s="354">
        <v>18</v>
      </c>
      <c r="D128" s="354">
        <v>18</v>
      </c>
      <c r="E128" s="382" t="s">
        <v>249</v>
      </c>
      <c r="F128" s="195"/>
      <c r="G128" s="195">
        <v>38</v>
      </c>
      <c r="H128" s="195"/>
      <c r="I128" s="195"/>
      <c r="J128" s="195"/>
      <c r="K128" s="195"/>
      <c r="L128" s="195">
        <v>1989</v>
      </c>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347"/>
      <c r="AM128" s="347"/>
      <c r="AN128" s="347"/>
      <c r="AO128" s="347"/>
      <c r="AP128" s="347"/>
      <c r="AQ128" s="347"/>
      <c r="AR128" s="347"/>
      <c r="AS128" s="347"/>
      <c r="AT128" s="347"/>
      <c r="AU128" s="347"/>
      <c r="AV128" s="347"/>
      <c r="AW128" s="347"/>
      <c r="AX128" s="347"/>
      <c r="AY128" s="347"/>
      <c r="AZ128" s="347"/>
      <c r="BA128" s="347"/>
      <c r="BB128" s="347"/>
      <c r="DF128" s="349"/>
      <c r="DI128" s="350"/>
    </row>
    <row r="129" spans="1:113" s="348" customFormat="1" ht="15.75" customHeight="1" hidden="1">
      <c r="A129" s="344"/>
      <c r="B129" s="345"/>
      <c r="C129" s="354">
        <v>19</v>
      </c>
      <c r="D129" s="354">
        <v>18</v>
      </c>
      <c r="E129" s="382" t="s">
        <v>249</v>
      </c>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347"/>
      <c r="AM129" s="347"/>
      <c r="AN129" s="347"/>
      <c r="AO129" s="347"/>
      <c r="AP129" s="347"/>
      <c r="AQ129" s="347"/>
      <c r="AR129" s="347"/>
      <c r="AS129" s="347"/>
      <c r="AT129" s="347"/>
      <c r="AU129" s="347"/>
      <c r="AV129" s="347"/>
      <c r="AW129" s="347"/>
      <c r="AX129" s="347"/>
      <c r="AY129" s="347"/>
      <c r="AZ129" s="347"/>
      <c r="BA129" s="347"/>
      <c r="BB129" s="347"/>
      <c r="DF129" s="349"/>
      <c r="DI129" s="350"/>
    </row>
    <row r="130" spans="2:113" s="348" customFormat="1" ht="15.75" customHeight="1" hidden="1">
      <c r="B130" s="383"/>
      <c r="C130" s="354">
        <v>20</v>
      </c>
      <c r="D130" s="354">
        <v>18</v>
      </c>
      <c r="E130" s="382" t="s">
        <v>249</v>
      </c>
      <c r="F130" s="383"/>
      <c r="G130" s="195"/>
      <c r="DF130" s="349"/>
      <c r="DI130" s="350"/>
    </row>
    <row r="131" spans="2:113" s="348" customFormat="1" ht="15.75" customHeight="1" hidden="1">
      <c r="B131" s="383"/>
      <c r="C131" s="354">
        <v>21</v>
      </c>
      <c r="D131" s="354">
        <v>18</v>
      </c>
      <c r="E131" s="382" t="s">
        <v>249</v>
      </c>
      <c r="F131" s="383"/>
      <c r="G131" s="195"/>
      <c r="DF131" s="349"/>
      <c r="DI131" s="350"/>
    </row>
    <row r="132" spans="2:113" s="348" customFormat="1" ht="15.75" customHeight="1" hidden="1">
      <c r="B132" s="383"/>
      <c r="C132" s="354">
        <v>22</v>
      </c>
      <c r="D132" s="354">
        <v>18</v>
      </c>
      <c r="E132" s="382" t="s">
        <v>249</v>
      </c>
      <c r="F132" s="383"/>
      <c r="G132" s="195"/>
      <c r="DF132" s="349"/>
      <c r="DI132" s="350"/>
    </row>
    <row r="133" spans="2:113" s="348" customFormat="1" ht="15.75" customHeight="1" hidden="1">
      <c r="B133" s="383"/>
      <c r="C133" s="354">
        <v>23</v>
      </c>
      <c r="D133" s="354">
        <v>18</v>
      </c>
      <c r="E133" s="382" t="s">
        <v>249</v>
      </c>
      <c r="F133" s="383"/>
      <c r="G133" s="195"/>
      <c r="DF133" s="349"/>
      <c r="DI133" s="350"/>
    </row>
    <row r="134" spans="2:113" s="348" customFormat="1" ht="15.75" customHeight="1" hidden="1">
      <c r="B134" s="383"/>
      <c r="C134" s="354">
        <v>24</v>
      </c>
      <c r="D134" s="354">
        <v>18</v>
      </c>
      <c r="E134" s="382" t="s">
        <v>249</v>
      </c>
      <c r="F134" s="383"/>
      <c r="G134" s="195"/>
      <c r="DF134" s="349"/>
      <c r="DI134" s="350"/>
    </row>
    <row r="135" spans="2:113" s="348" customFormat="1" ht="15.75" customHeight="1" hidden="1">
      <c r="B135" s="383"/>
      <c r="C135" s="354">
        <v>25</v>
      </c>
      <c r="D135" s="354">
        <v>18</v>
      </c>
      <c r="E135" s="382" t="s">
        <v>249</v>
      </c>
      <c r="F135" s="383"/>
      <c r="G135" s="195"/>
      <c r="DF135" s="349"/>
      <c r="DI135" s="350"/>
    </row>
    <row r="136" spans="2:113" s="348" customFormat="1" ht="15.75" customHeight="1" hidden="1">
      <c r="B136" s="383"/>
      <c r="C136" s="354">
        <v>26</v>
      </c>
      <c r="D136" s="354">
        <v>24</v>
      </c>
      <c r="E136" s="382" t="s">
        <v>250</v>
      </c>
      <c r="F136" s="383"/>
      <c r="G136" s="195"/>
      <c r="DF136" s="349"/>
      <c r="DI136" s="350"/>
    </row>
    <row r="137" spans="2:113" s="348" customFormat="1" ht="15.75" customHeight="1" hidden="1">
      <c r="B137" s="383"/>
      <c r="C137" s="354">
        <v>27</v>
      </c>
      <c r="D137" s="354">
        <v>24</v>
      </c>
      <c r="E137" s="382" t="s">
        <v>250</v>
      </c>
      <c r="F137" s="383"/>
      <c r="G137" s="195"/>
      <c r="DF137" s="349"/>
      <c r="DI137" s="350"/>
    </row>
    <row r="138" spans="2:113" s="348" customFormat="1" ht="15.75" customHeight="1" hidden="1">
      <c r="B138" s="383"/>
      <c r="C138" s="354">
        <v>28</v>
      </c>
      <c r="D138" s="354">
        <v>24</v>
      </c>
      <c r="E138" s="382" t="s">
        <v>250</v>
      </c>
      <c r="F138" s="383"/>
      <c r="G138" s="195"/>
      <c r="DF138" s="349"/>
      <c r="DI138" s="350"/>
    </row>
    <row r="139" spans="2:113" s="348" customFormat="1" ht="15.75" customHeight="1" hidden="1">
      <c r="B139" s="383"/>
      <c r="C139" s="354"/>
      <c r="D139" s="354"/>
      <c r="E139" s="383"/>
      <c r="F139" s="383"/>
      <c r="G139" s="195"/>
      <c r="DF139" s="349"/>
      <c r="DI139" s="350"/>
    </row>
    <row r="140" spans="2:113" s="348" customFormat="1" ht="15.75" customHeight="1" hidden="1">
      <c r="B140" s="383"/>
      <c r="C140" s="383"/>
      <c r="D140" s="383"/>
      <c r="E140" s="383"/>
      <c r="F140" s="383"/>
      <c r="G140" s="195"/>
      <c r="DF140" s="349"/>
      <c r="DI140" s="350"/>
    </row>
    <row r="141" spans="2:113" s="348" customFormat="1" ht="15.75" customHeight="1" hidden="1">
      <c r="B141" s="383"/>
      <c r="C141" s="383"/>
      <c r="E141" s="383" t="s">
        <v>247</v>
      </c>
      <c r="F141" s="383">
        <v>1</v>
      </c>
      <c r="G141" s="195"/>
      <c r="H141" s="348" t="s">
        <v>272</v>
      </c>
      <c r="DF141" s="349"/>
      <c r="DI141" s="350"/>
    </row>
    <row r="142" spans="2:113" s="348" customFormat="1" ht="15.75" customHeight="1" hidden="1">
      <c r="B142" s="383"/>
      <c r="C142" s="383"/>
      <c r="E142" s="383" t="s">
        <v>248</v>
      </c>
      <c r="F142" s="383">
        <v>2</v>
      </c>
      <c r="G142" s="195"/>
      <c r="H142" s="348" t="str">
        <f>IF(B89=1,"No Need of Additional Qualifications",IF(B89&lt;4,"Required Qualification is 3Years Degree or Equalent to Graduation",IF(B89&gt;4,"Required Qualification is 3Years Degree or Equalent to Graduation","No Need of Additional Qualifications")))</f>
        <v>No Need of Additional Qualifications</v>
      </c>
      <c r="DF142" s="349"/>
      <c r="DI142" s="350"/>
    </row>
    <row r="143" spans="2:113" s="348" customFormat="1" ht="15.75" customHeight="1" hidden="1">
      <c r="B143" s="383"/>
      <c r="C143" s="383"/>
      <c r="E143" s="383" t="s">
        <v>249</v>
      </c>
      <c r="F143" s="383">
        <v>3</v>
      </c>
      <c r="G143" s="195"/>
      <c r="H143" s="348" t="str">
        <f>IF(B89=1,"No Need of Additional Qualifications",IF(B89&lt;4,"Required Qualification is 3Years Degree or Equalent to Graduation",IF(B89&gt;4,"Required Qualification is 3Years Degree or Equalent to Graduation","No Need of Additional Qualifications")))</f>
        <v>No Need of Additional Qualifications</v>
      </c>
      <c r="DF143" s="349"/>
      <c r="DI143" s="350"/>
    </row>
    <row r="144" spans="2:113" s="348" customFormat="1" ht="15.75" customHeight="1" hidden="1">
      <c r="B144" s="383"/>
      <c r="C144" s="383"/>
      <c r="E144" s="383" t="s">
        <v>250</v>
      </c>
      <c r="F144" s="383">
        <v>4</v>
      </c>
      <c r="G144" s="195"/>
      <c r="H144" s="348" t="str">
        <f>IF(B89=1,"No Need of Additional Qualifications",IF(B89&lt;4,"Required Qualification is 3Years Degree or Equalent to Graduation",IF(B89&gt;3,"Required Qualification is 3Years Degree or Equalent to Graduation")))</f>
        <v>Required Qualification is 3Years Degree or Equalent to Graduation</v>
      </c>
      <c r="DF144" s="349"/>
      <c r="DI144" s="350"/>
    </row>
    <row r="145" spans="2:113" s="348" customFormat="1" ht="15.75" customHeight="1" hidden="1">
      <c r="B145" s="383"/>
      <c r="C145" s="383"/>
      <c r="D145" s="383"/>
      <c r="E145" s="383"/>
      <c r="F145" s="383"/>
      <c r="G145" s="195"/>
      <c r="DF145" s="349"/>
      <c r="DI145" s="350"/>
    </row>
    <row r="146" spans="2:113" s="348" customFormat="1" ht="15.75" customHeight="1" hidden="1">
      <c r="B146" s="383"/>
      <c r="C146" s="383"/>
      <c r="D146" s="383"/>
      <c r="E146" s="383" t="s">
        <v>247</v>
      </c>
      <c r="F146" s="383">
        <v>1</v>
      </c>
      <c r="H146" s="348" t="s">
        <v>272</v>
      </c>
      <c r="DF146" s="349"/>
      <c r="DI146" s="350"/>
    </row>
    <row r="147" spans="2:113" s="348" customFormat="1" ht="15.75" customHeight="1" hidden="1">
      <c r="B147" s="383"/>
      <c r="C147" s="383"/>
      <c r="D147" s="383"/>
      <c r="E147" s="383" t="s">
        <v>248</v>
      </c>
      <c r="F147" s="383">
        <v>2</v>
      </c>
      <c r="H147" s="348" t="str">
        <f>IF(B89=1,"No Need of Additional Qualifications",IF(B89&lt;4,"Required Qualification is B.Ed/T.P.T/H.P.T/B.P.Ed",IF(B89&gt;4,"Required Qualification is B.Ed/T.P.T/H.P.T/B.P.Ed","No Need of Additional Qualifications")))</f>
        <v>No Need of Additional Qualifications</v>
      </c>
      <c r="DF147" s="349"/>
      <c r="DI147" s="350"/>
    </row>
    <row r="148" spans="2:113" s="348" customFormat="1" ht="15.75" customHeight="1" hidden="1">
      <c r="B148" s="383"/>
      <c r="C148" s="383"/>
      <c r="D148" s="383"/>
      <c r="E148" s="383" t="s">
        <v>249</v>
      </c>
      <c r="F148" s="383">
        <v>3</v>
      </c>
      <c r="H148" s="348" t="str">
        <f>IF(B89=1,"No Need of Additional Qualifications",IF(B89&lt;4,"Required Qualification is B.Ed/T.P.T/H.P.T/B.P.Ed",IF(B89&gt;4,"Required Qualification is B.Ed/T.P.T/H.P.T/B.P.Ed","No Need of Additional Qualifications")))</f>
        <v>No Need of Additional Qualifications</v>
      </c>
      <c r="DF148" s="349"/>
      <c r="DI148" s="350"/>
    </row>
    <row r="149" spans="2:113" s="348" customFormat="1" ht="15.75" customHeight="1" hidden="1">
      <c r="B149" s="383"/>
      <c r="C149" s="383"/>
      <c r="D149" s="383"/>
      <c r="E149" s="383" t="s">
        <v>250</v>
      </c>
      <c r="F149" s="383">
        <v>4</v>
      </c>
      <c r="H149" s="348" t="str">
        <f>IF(B89=1,"No Need of Additional Qualifications",IF(B89&lt;4,"Required Qualification is B.Ed/T.P.T/H.P.T/B.P.Ed",IF(B89&gt;3,"Required Qualification is B.Ed/T.P.T/H.P.T/B.P.Ed or PAT Pass","")))</f>
        <v>Required Qualification is B.Ed/T.P.T/H.P.T/B.P.Ed or PAT Pass</v>
      </c>
      <c r="DF149" s="349"/>
      <c r="DI149" s="350"/>
    </row>
    <row r="150" spans="2:113" s="348" customFormat="1" ht="15.75" customHeight="1" hidden="1">
      <c r="B150" s="383"/>
      <c r="C150" s="383"/>
      <c r="D150" s="383"/>
      <c r="E150" s="383"/>
      <c r="F150" s="383"/>
      <c r="DF150" s="349"/>
      <c r="DI150" s="350"/>
    </row>
    <row r="151" spans="2:113" s="348" customFormat="1" ht="15.75" customHeight="1" hidden="1">
      <c r="B151" s="383"/>
      <c r="C151" s="383"/>
      <c r="D151" s="383"/>
      <c r="E151" s="383" t="s">
        <v>247</v>
      </c>
      <c r="F151" s="383">
        <v>1</v>
      </c>
      <c r="H151" s="348" t="s">
        <v>273</v>
      </c>
      <c r="DF151" s="349"/>
      <c r="DI151" s="350"/>
    </row>
    <row r="152" spans="2:113" s="348" customFormat="1" ht="15.75" customHeight="1" hidden="1">
      <c r="B152" s="383"/>
      <c r="C152" s="383"/>
      <c r="D152" s="383"/>
      <c r="E152" s="383" t="s">
        <v>248</v>
      </c>
      <c r="F152" s="383">
        <v>2</v>
      </c>
      <c r="H152" s="348" t="str">
        <f>IF(B89=1," No Need of Departmental Tests Pass",IF(B89&lt;4,"Departmental Tests Pass (G.O.T &amp; E.O.T) is Eligible ",IF(B89&gt;3,"No Need of Departmental Tests Pass")))</f>
        <v>No Need of Departmental Tests Pass</v>
      </c>
      <c r="DF152" s="349"/>
      <c r="DI152" s="350"/>
    </row>
    <row r="153" spans="2:113" s="348" customFormat="1" ht="15.75" customHeight="1" hidden="1">
      <c r="B153" s="383"/>
      <c r="C153" s="383"/>
      <c r="D153" s="383"/>
      <c r="E153" s="383" t="s">
        <v>249</v>
      </c>
      <c r="F153" s="383">
        <v>3</v>
      </c>
      <c r="H153" s="348" t="str">
        <f>IF(B89=1," No Need of Departmental Tests Pass",IF(B89&lt;4,"Departmental Tests Pass (G.O.T &amp; E.O.T) is Eligible ",IF(B89&gt;3,"No Need of Departmental Tests Pass")))</f>
        <v>No Need of Departmental Tests Pass</v>
      </c>
      <c r="DF153" s="349"/>
      <c r="DI153" s="350"/>
    </row>
    <row r="154" spans="2:113" s="348" customFormat="1" ht="15.75" customHeight="1" hidden="1">
      <c r="B154" s="383"/>
      <c r="C154" s="383"/>
      <c r="D154" s="383"/>
      <c r="E154" s="383" t="s">
        <v>250</v>
      </c>
      <c r="F154" s="383">
        <v>4</v>
      </c>
      <c r="H154" s="348" t="str">
        <f>IF(B89=1," No Need of Departmental Tests Pass",IF(B89&gt;1,"Departmental Tests Pass (G.O.T &amp; E.O.T) is Eligible "))</f>
        <v>Departmental Tests Pass (G.O.T &amp; E.O.T) is Eligible </v>
      </c>
      <c r="DF154" s="349"/>
      <c r="DI154" s="350"/>
    </row>
    <row r="155" spans="2:113" s="348" customFormat="1" ht="15.75" customHeight="1" hidden="1">
      <c r="B155" s="383"/>
      <c r="C155" s="383"/>
      <c r="D155" s="383"/>
      <c r="E155" s="383"/>
      <c r="F155" s="383"/>
      <c r="DF155" s="349"/>
      <c r="DI155" s="350"/>
    </row>
    <row r="156" spans="2:113" s="348" customFormat="1" ht="15.75" customHeight="1" hidden="1">
      <c r="B156" s="383"/>
      <c r="C156" s="383"/>
      <c r="D156" s="383"/>
      <c r="E156" s="383"/>
      <c r="F156" s="383">
        <v>1</v>
      </c>
      <c r="H156" s="348" t="str">
        <f>H151</f>
        <v>No Need of Departmental Tests Pass </v>
      </c>
      <c r="DF156" s="349"/>
      <c r="DI156" s="350"/>
    </row>
    <row r="157" spans="2:113" s="348" customFormat="1" ht="15.75" customHeight="1" hidden="1">
      <c r="B157" s="383"/>
      <c r="C157" s="383"/>
      <c r="D157" s="383">
        <f>B88+1</f>
        <v>4</v>
      </c>
      <c r="E157" s="383">
        <f>B89</f>
        <v>4</v>
      </c>
      <c r="F157" s="383">
        <v>2</v>
      </c>
      <c r="H157" s="348" t="str">
        <f>IF(AND(E157=2,T79&gt;=45),"You are Exmpted from the Depratmental Tests Pass",IF(T79&gt;=50," You are Exmpted from the Depratmental Tests Pass",H152))</f>
        <v>No Need of Departmental Tests Pass</v>
      </c>
      <c r="DF157" s="349"/>
      <c r="DI157" s="350"/>
    </row>
    <row r="158" spans="2:113" s="348" customFormat="1" ht="15.75" customHeight="1" hidden="1">
      <c r="B158" s="383"/>
      <c r="C158" s="383"/>
      <c r="D158" s="383"/>
      <c r="E158" s="383"/>
      <c r="F158" s="383">
        <v>3</v>
      </c>
      <c r="H158" s="348" t="str">
        <f>H157</f>
        <v>No Need of Departmental Tests Pass</v>
      </c>
      <c r="DF158" s="349"/>
      <c r="DI158" s="350"/>
    </row>
    <row r="159" spans="2:113" s="348" customFormat="1" ht="15.75" customHeight="1" hidden="1">
      <c r="B159" s="383"/>
      <c r="C159" s="383"/>
      <c r="D159" s="383"/>
      <c r="E159" s="383"/>
      <c r="F159" s="383">
        <v>4</v>
      </c>
      <c r="H159" s="348" t="str">
        <f>IF(T79&gt;=50," You are Exmpted from the Depratmental Tests Pass",H154)</f>
        <v>Departmental Tests Pass (G.O.T &amp; E.O.T) is Eligible </v>
      </c>
      <c r="DF159" s="349"/>
      <c r="DI159" s="350"/>
    </row>
    <row r="160" spans="2:113" s="348" customFormat="1" ht="15.75" customHeight="1" hidden="1">
      <c r="B160" s="383"/>
      <c r="C160" s="383"/>
      <c r="D160" s="383"/>
      <c r="E160" s="383"/>
      <c r="F160" s="383"/>
      <c r="DF160" s="349"/>
      <c r="DI160" s="350"/>
    </row>
    <row r="161" spans="2:113" s="348" customFormat="1" ht="15.75" customHeight="1" hidden="1">
      <c r="B161" s="383"/>
      <c r="C161" s="383"/>
      <c r="D161" s="383"/>
      <c r="E161" s="383"/>
      <c r="F161" s="383"/>
      <c r="DF161" s="349"/>
      <c r="DI161" s="350"/>
    </row>
    <row r="162" spans="2:113" s="348" customFormat="1" ht="15.75" customHeight="1" hidden="1">
      <c r="B162" s="383"/>
      <c r="C162" s="383"/>
      <c r="D162" s="383"/>
      <c r="E162" s="383"/>
      <c r="F162" s="383"/>
      <c r="DF162" s="349"/>
      <c r="DI162" s="350"/>
    </row>
    <row r="163" spans="2:113" s="348" customFormat="1" ht="15.75" customHeight="1" hidden="1">
      <c r="B163" s="383"/>
      <c r="C163" s="383"/>
      <c r="D163" s="383"/>
      <c r="E163" s="383"/>
      <c r="F163" s="383"/>
      <c r="H163" s="348">
        <v>1</v>
      </c>
      <c r="O163" s="348">
        <v>1</v>
      </c>
      <c r="P163" s="420" t="str">
        <f>D22</f>
        <v>1/2/2010</v>
      </c>
      <c r="Q163" s="348" t="str">
        <f>VLOOKUP(Q86,G91:H102,2,0)</f>
        <v>February</v>
      </c>
      <c r="R163" s="348">
        <f>Q87</f>
        <v>2010</v>
      </c>
      <c r="T163" s="348" t="str">
        <f>CONCATENATE(Q163,",",R163)</f>
        <v>February,2010</v>
      </c>
      <c r="DF163" s="349"/>
      <c r="DI163" s="350"/>
    </row>
    <row r="164" spans="2:113" s="348" customFormat="1" ht="15.75" customHeight="1" hidden="1">
      <c r="B164" s="383"/>
      <c r="C164" s="383"/>
      <c r="D164" s="383"/>
      <c r="E164" s="383"/>
      <c r="F164" s="383"/>
      <c r="N164" s="348">
        <f>O115</f>
        <v>1</v>
      </c>
      <c r="O164" s="348">
        <v>2</v>
      </c>
      <c r="P164" s="384">
        <f>DATE(G27,F27,E27)</f>
        <v>40452</v>
      </c>
      <c r="Q164" s="348" t="str">
        <f>VLOOKUP(F27,G91:H102,2,0)</f>
        <v>October</v>
      </c>
      <c r="R164" s="348">
        <f>G27</f>
        <v>2010</v>
      </c>
      <c r="T164" s="348" t="str">
        <f>IF(O115=5,"No Change",CONCATENATE(Q164,",",R164))</f>
        <v>October,2010</v>
      </c>
      <c r="V164" s="384"/>
      <c r="DF164" s="349"/>
      <c r="DI164" s="350"/>
    </row>
    <row r="165" spans="2:113" s="348" customFormat="1" ht="15.75" customHeight="1" hidden="1">
      <c r="B165" s="383"/>
      <c r="C165" s="383"/>
      <c r="D165" s="383"/>
      <c r="E165" s="383"/>
      <c r="F165" s="383"/>
      <c r="H165" s="348">
        <v>1</v>
      </c>
      <c r="I165" s="348" t="s">
        <v>289</v>
      </c>
      <c r="N165" s="348">
        <f>O116</f>
        <v>5</v>
      </c>
      <c r="O165" s="348">
        <v>3</v>
      </c>
      <c r="P165" s="384">
        <f>DATE(G28,F28,E28)</f>
        <v>40468</v>
      </c>
      <c r="Q165" s="348" t="str">
        <f>VLOOKUP(F28,G91:H102,2,0)</f>
        <v>October</v>
      </c>
      <c r="R165" s="348">
        <f>G28</f>
        <v>2010</v>
      </c>
      <c r="T165" s="348" t="str">
        <f>IF(O116=5,"No Change",CONCATENATE(Q165,",",R165))</f>
        <v>No Change</v>
      </c>
      <c r="V165" s="384"/>
      <c r="DF165" s="349"/>
      <c r="DI165" s="350"/>
    </row>
    <row r="166" spans="2:113" s="348" customFormat="1" ht="15.75" customHeight="1" hidden="1">
      <c r="B166" s="383"/>
      <c r="C166" s="383"/>
      <c r="D166" s="383"/>
      <c r="E166" s="383"/>
      <c r="F166" s="383"/>
      <c r="H166" s="348">
        <v>2</v>
      </c>
      <c r="I166" s="348" t="s">
        <v>290</v>
      </c>
      <c r="N166" s="348">
        <f>O117</f>
        <v>5</v>
      </c>
      <c r="O166" s="348">
        <v>4</v>
      </c>
      <c r="P166" s="384">
        <f>DATE(G29,F29,E29)</f>
        <v>40634</v>
      </c>
      <c r="Q166" s="348" t="str">
        <f>VLOOKUP(F29,G91:H102,2,0)</f>
        <v>April</v>
      </c>
      <c r="R166" s="348">
        <f>G29</f>
        <v>2011</v>
      </c>
      <c r="T166" s="348" t="str">
        <f>IF(O117=5,"No Change",CONCATENATE(Q166,",",R166))</f>
        <v>No Change</v>
      </c>
      <c r="DF166" s="349"/>
      <c r="DI166" s="350"/>
    </row>
    <row r="167" spans="2:113" s="348" customFormat="1" ht="15.75" customHeight="1" hidden="1">
      <c r="B167" s="383"/>
      <c r="C167" s="383"/>
      <c r="D167" s="383"/>
      <c r="E167" s="383"/>
      <c r="F167" s="383"/>
      <c r="H167" s="348">
        <v>3</v>
      </c>
      <c r="I167" s="348" t="s">
        <v>291</v>
      </c>
      <c r="N167" s="348">
        <f>O118</f>
        <v>5</v>
      </c>
      <c r="O167" s="348">
        <v>5</v>
      </c>
      <c r="P167" s="384">
        <f>DATE(G30,F30,E30)</f>
        <v>40603</v>
      </c>
      <c r="Q167" s="348" t="str">
        <f>VLOOKUP(F30,G91:H102,2,0)</f>
        <v>March</v>
      </c>
      <c r="R167" s="348">
        <f>G30</f>
        <v>2011</v>
      </c>
      <c r="T167" s="348" t="str">
        <f>IF(O118=5,"No Change",CONCATENATE(Q167,",",R167))</f>
        <v>No Change</v>
      </c>
      <c r="DF167" s="349"/>
      <c r="DI167" s="350"/>
    </row>
    <row r="168" spans="2:113" s="348" customFormat="1" ht="15.75" customHeight="1" hidden="1">
      <c r="B168" s="383"/>
      <c r="C168" s="383"/>
      <c r="D168" s="383"/>
      <c r="E168" s="383"/>
      <c r="F168" s="383"/>
      <c r="H168" s="348">
        <v>4</v>
      </c>
      <c r="I168" s="348" t="s">
        <v>292</v>
      </c>
      <c r="N168" s="348">
        <f>O119</f>
        <v>5</v>
      </c>
      <c r="O168" s="348">
        <v>6</v>
      </c>
      <c r="P168" s="384">
        <f>DATE(G31,F31,E31)</f>
        <v>40603</v>
      </c>
      <c r="Q168" s="348" t="str">
        <f>VLOOKUP(F31,G91:H102,2,0)</f>
        <v>March</v>
      </c>
      <c r="R168" s="348">
        <f>G31</f>
        <v>2011</v>
      </c>
      <c r="T168" s="348" t="str">
        <f>IF(O119=5,"No Change",CONCATENATE(Q168,",",R168))</f>
        <v>No Change</v>
      </c>
      <c r="DF168" s="349"/>
      <c r="DI168" s="350"/>
    </row>
    <row r="169" spans="2:113" s="348" customFormat="1" ht="15.75" customHeight="1" hidden="1">
      <c r="B169" s="383"/>
      <c r="C169" s="383"/>
      <c r="D169" s="383"/>
      <c r="E169" s="383"/>
      <c r="F169" s="383"/>
      <c r="H169" s="348">
        <v>5</v>
      </c>
      <c r="I169" s="348" t="s">
        <v>293</v>
      </c>
      <c r="DF169" s="349"/>
      <c r="DI169" s="350"/>
    </row>
    <row r="170" spans="2:113" s="348" customFormat="1" ht="15.75" customHeight="1" hidden="1">
      <c r="B170" s="383"/>
      <c r="C170" s="383"/>
      <c r="D170" s="383"/>
      <c r="E170" s="383"/>
      <c r="F170" s="383"/>
      <c r="H170" s="348">
        <v>6</v>
      </c>
      <c r="I170" s="348" t="s">
        <v>294</v>
      </c>
      <c r="DF170" s="349"/>
      <c r="DI170" s="350"/>
    </row>
    <row r="171" spans="2:113" s="348" customFormat="1" ht="15.75" customHeight="1" hidden="1">
      <c r="B171" s="383"/>
      <c r="C171" s="383"/>
      <c r="D171" s="383"/>
      <c r="E171" s="383"/>
      <c r="F171" s="383"/>
      <c r="H171" s="348">
        <v>7</v>
      </c>
      <c r="I171" s="348" t="s">
        <v>295</v>
      </c>
      <c r="DF171" s="349"/>
      <c r="DI171" s="350"/>
    </row>
    <row r="172" spans="2:113" s="348" customFormat="1" ht="15.75" customHeight="1" hidden="1">
      <c r="B172" s="383"/>
      <c r="C172" s="383"/>
      <c r="D172" s="383"/>
      <c r="E172" s="383"/>
      <c r="F172" s="383"/>
      <c r="H172" s="348">
        <v>8</v>
      </c>
      <c r="O172" s="348">
        <v>1</v>
      </c>
      <c r="DF172" s="349"/>
      <c r="DI172" s="350"/>
    </row>
    <row r="173" spans="2:113" s="348" customFormat="1" ht="15.75" customHeight="1" hidden="1">
      <c r="B173" s="383"/>
      <c r="C173" s="383"/>
      <c r="D173" s="383"/>
      <c r="E173" s="383"/>
      <c r="F173" s="383"/>
      <c r="H173" s="348">
        <v>9</v>
      </c>
      <c r="O173" s="348">
        <v>1</v>
      </c>
      <c r="DF173" s="349"/>
      <c r="DI173" s="350"/>
    </row>
    <row r="174" spans="2:113" s="348" customFormat="1" ht="15.75" customHeight="1" hidden="1">
      <c r="B174" s="383"/>
      <c r="C174" s="383"/>
      <c r="D174" s="383"/>
      <c r="E174" s="383"/>
      <c r="F174" s="383"/>
      <c r="H174" s="348">
        <v>10</v>
      </c>
      <c r="O174" s="348">
        <v>2</v>
      </c>
      <c r="DF174" s="349"/>
      <c r="DI174" s="350"/>
    </row>
    <row r="175" spans="2:113" s="348" customFormat="1" ht="15.75" customHeight="1" hidden="1">
      <c r="B175" s="383"/>
      <c r="C175" s="383"/>
      <c r="D175" s="383"/>
      <c r="E175" s="383"/>
      <c r="F175" s="383"/>
      <c r="O175" s="348">
        <v>2</v>
      </c>
      <c r="DF175" s="349"/>
      <c r="DI175" s="350"/>
    </row>
    <row r="176" spans="2:113" s="348" customFormat="1" ht="15.75" customHeight="1" hidden="1">
      <c r="B176" s="383"/>
      <c r="C176" s="383"/>
      <c r="D176" s="383"/>
      <c r="E176" s="383"/>
      <c r="F176" s="383"/>
      <c r="O176" s="348">
        <v>2</v>
      </c>
      <c r="DF176" s="349"/>
      <c r="DI176" s="350"/>
    </row>
    <row r="177" spans="2:113" s="348" customFormat="1" ht="15.75" customHeight="1" hidden="1">
      <c r="B177" s="383"/>
      <c r="C177" s="383"/>
      <c r="D177" s="383"/>
      <c r="E177" s="383"/>
      <c r="F177" s="383"/>
      <c r="DF177" s="349"/>
      <c r="DI177" s="350"/>
    </row>
    <row r="178" spans="2:113" s="348" customFormat="1" ht="15.75" customHeight="1" hidden="1">
      <c r="B178" s="383"/>
      <c r="C178" s="383"/>
      <c r="D178" s="383"/>
      <c r="E178" s="383"/>
      <c r="F178" s="383"/>
      <c r="DF178" s="349"/>
      <c r="DI178" s="350"/>
    </row>
    <row r="179" spans="2:113" s="348" customFormat="1" ht="15.75" customHeight="1" hidden="1">
      <c r="B179" s="383"/>
      <c r="C179" s="383"/>
      <c r="D179" s="383"/>
      <c r="E179" s="383"/>
      <c r="F179" s="383"/>
      <c r="DF179" s="349"/>
      <c r="DI179" s="350"/>
    </row>
    <row r="180" spans="2:113" s="348" customFormat="1" ht="15.75" customHeight="1" hidden="1">
      <c r="B180" s="383"/>
      <c r="C180" s="383"/>
      <c r="D180" s="383"/>
      <c r="E180" s="383"/>
      <c r="F180" s="383"/>
      <c r="DF180" s="349"/>
      <c r="DI180" s="350"/>
    </row>
    <row r="181" spans="2:113" s="348" customFormat="1" ht="15.75" customHeight="1" hidden="1">
      <c r="B181" s="383"/>
      <c r="C181" s="383"/>
      <c r="D181" s="383"/>
      <c r="E181" s="383"/>
      <c r="F181" s="383"/>
      <c r="DF181" s="349"/>
      <c r="DI181" s="350"/>
    </row>
    <row r="182" spans="2:113" s="348" customFormat="1" ht="15.75" customHeight="1" hidden="1">
      <c r="B182" s="383"/>
      <c r="C182" s="383"/>
      <c r="D182" s="383"/>
      <c r="E182" s="383"/>
      <c r="F182" s="383"/>
      <c r="DF182" s="349"/>
      <c r="DI182" s="350"/>
    </row>
    <row r="183" spans="1:113" s="348" customFormat="1" ht="15.75" customHeight="1" hidden="1">
      <c r="A183" s="348">
        <v>6</v>
      </c>
      <c r="B183" s="383" t="s">
        <v>247</v>
      </c>
      <c r="C183" s="383">
        <v>1</v>
      </c>
      <c r="D183" s="383"/>
      <c r="E183" s="383"/>
      <c r="F183" s="383"/>
      <c r="DF183" s="349"/>
      <c r="DI183" s="350"/>
    </row>
    <row r="184" spans="1:113" s="348" customFormat="1" ht="15.75" customHeight="1" hidden="1">
      <c r="A184" s="348">
        <v>12</v>
      </c>
      <c r="B184" s="383" t="s">
        <v>248</v>
      </c>
      <c r="C184" s="383">
        <v>2</v>
      </c>
      <c r="D184" s="383"/>
      <c r="E184" s="383"/>
      <c r="F184" s="383"/>
      <c r="DF184" s="349"/>
      <c r="DI184" s="350"/>
    </row>
    <row r="185" spans="1:113" s="348" customFormat="1" ht="15.75" customHeight="1" hidden="1">
      <c r="A185" s="348">
        <v>18</v>
      </c>
      <c r="B185" s="383" t="s">
        <v>249</v>
      </c>
      <c r="C185" s="383">
        <v>3</v>
      </c>
      <c r="D185" s="383"/>
      <c r="E185" s="383"/>
      <c r="F185" s="383"/>
      <c r="DF185" s="349"/>
      <c r="DI185" s="350"/>
    </row>
    <row r="186" spans="1:113" s="348" customFormat="1" ht="15.75" customHeight="1" hidden="1">
      <c r="A186" s="348">
        <v>24</v>
      </c>
      <c r="B186" s="383" t="s">
        <v>250</v>
      </c>
      <c r="C186" s="383">
        <v>4</v>
      </c>
      <c r="D186" s="383"/>
      <c r="E186" s="383"/>
      <c r="F186" s="383"/>
      <c r="DF186" s="349"/>
      <c r="DI186" s="350"/>
    </row>
    <row r="187" spans="2:113" s="348" customFormat="1" ht="15.75" customHeight="1" hidden="1">
      <c r="B187" s="383"/>
      <c r="C187" s="383"/>
      <c r="D187" s="383"/>
      <c r="E187" s="383"/>
      <c r="F187" s="383"/>
      <c r="DF187" s="349"/>
      <c r="DI187" s="350"/>
    </row>
    <row r="188" spans="2:113" s="348" customFormat="1" ht="15.75" customHeight="1" hidden="1">
      <c r="B188" s="383"/>
      <c r="C188" s="383"/>
      <c r="D188" s="383"/>
      <c r="E188" s="383"/>
      <c r="F188" s="383"/>
      <c r="DF188" s="349"/>
      <c r="DI188" s="350"/>
    </row>
    <row r="189" spans="2:113" s="348" customFormat="1" ht="15.75" customHeight="1" hidden="1">
      <c r="B189" s="383"/>
      <c r="C189" s="383"/>
      <c r="D189" s="383"/>
      <c r="E189" s="383"/>
      <c r="F189" s="383"/>
      <c r="DF189" s="349"/>
      <c r="DI189" s="350"/>
    </row>
    <row r="190" spans="2:113" s="348" customFormat="1" ht="15.75" customHeight="1" hidden="1">
      <c r="B190" s="383"/>
      <c r="C190" s="383"/>
      <c r="D190" s="383"/>
      <c r="E190" s="383"/>
      <c r="F190" s="383"/>
      <c r="DF190" s="349"/>
      <c r="DI190" s="350"/>
    </row>
    <row r="191" spans="2:113" s="348" customFormat="1" ht="15.75" customHeight="1" hidden="1">
      <c r="B191" s="383"/>
      <c r="C191" s="383"/>
      <c r="D191" s="383"/>
      <c r="E191" s="383"/>
      <c r="F191" s="383"/>
      <c r="DF191" s="349"/>
      <c r="DI191" s="350"/>
    </row>
    <row r="192" spans="2:113" s="348" customFormat="1" ht="15.75" customHeight="1" hidden="1">
      <c r="B192" s="383"/>
      <c r="C192" s="383"/>
      <c r="D192" s="383"/>
      <c r="E192" s="383"/>
      <c r="F192" s="383"/>
      <c r="DF192" s="349"/>
      <c r="DI192" s="350"/>
    </row>
    <row r="193" spans="2:113" s="348" customFormat="1" ht="15.75" customHeight="1" hidden="1">
      <c r="B193" s="383"/>
      <c r="C193" s="385" t="str">
        <f>CONCATENATE("APSESS - Modified Automatic Advancement Scheme - Pay Fixation of ",C4,", ",C90,", ",L4," in ",O83," Scale in ",C89," cadre - Orders - Issued.")</f>
        <v>APSESS - Modified Automatic Advancement Scheme - Pay Fixation of Sri. G.Ravinder Reddy, Surveyar, AD, Mineing  in SG Scale in Surveyar cadre - Orders - Issued.</v>
      </c>
      <c r="D193" s="385"/>
      <c r="E193" s="385"/>
      <c r="F193" s="385"/>
      <c r="G193" s="385"/>
      <c r="H193" s="385"/>
      <c r="I193" s="385"/>
      <c r="J193" s="385"/>
      <c r="K193" s="385"/>
      <c r="DF193" s="349"/>
      <c r="DI193" s="350"/>
    </row>
    <row r="194" spans="2:113" s="348" customFormat="1" ht="15.75" customHeight="1" hidden="1">
      <c r="B194" s="383"/>
      <c r="C194" s="385"/>
      <c r="D194" s="385"/>
      <c r="E194" s="385"/>
      <c r="F194" s="385"/>
      <c r="G194" s="385"/>
      <c r="H194" s="385"/>
      <c r="I194" s="385"/>
      <c r="J194" s="385"/>
      <c r="K194" s="385"/>
      <c r="DF194" s="349"/>
      <c r="DI194" s="350"/>
    </row>
    <row r="195" spans="2:113" s="348" customFormat="1" ht="15.75" customHeight="1" hidden="1">
      <c r="B195" s="383"/>
      <c r="C195" s="383" t="str">
        <f>CONCATENATE("                    In terms of conditions laid down in the said Govt. order. The incumbent ",Data!C4,", ",Data!C90,", ",Data!L4,", Mandal ",Data!D6," Pay has Fixed in ",Data!O83," (",PROGRAMME!Y9,"Years) "," Scale in  ",C89," cadre at Rs. ",PROGRAMME!H4,"/- In the Time Scale of ",PROGRAMME!X9," in modified Automatic Advancement Scheme w.e.f ",U87," after successfull completion of Eligible Service in the ",Data!C89," cadre since he/she is fully qualified for relevent promotion post meant for the scale.")</f>
        <v>                    In terms of conditions laid down in the said Govt. order. The incumbent Sri. G.Ravinder Reddy, Surveyar, AD, Mineing , Mandal Nizamabad Pay has Fixed in SG (6Years)  Scale in  Surveyar cadre at Rs. 10300/- In the Time Scale of 11530-33200 in modified Automatic Advancement Scheme w.e.f 1/2/2010 after successfull completion of Eligible Service in the Surveyar cadre since he/she is fully qualified for relevent promotion post meant for the scale.</v>
      </c>
      <c r="D195" s="383"/>
      <c r="E195" s="383"/>
      <c r="F195" s="383"/>
      <c r="DF195" s="349"/>
      <c r="DI195" s="350"/>
    </row>
    <row r="196" spans="2:113" s="348" customFormat="1" ht="15.75" customHeight="1" hidden="1">
      <c r="B196" s="383"/>
      <c r="C196" s="383"/>
      <c r="D196" s="383"/>
      <c r="E196" s="383"/>
      <c r="F196" s="383"/>
      <c r="DF196" s="349"/>
      <c r="DI196" s="350"/>
    </row>
    <row r="197" spans="2:113" s="348" customFormat="1" ht="15.75" customHeight="1" hidden="1">
      <c r="B197" s="383"/>
      <c r="C197" s="383"/>
      <c r="D197" s="383"/>
      <c r="E197" s="383"/>
      <c r="F197" s="383"/>
      <c r="DF197" s="349"/>
      <c r="DI197" s="350"/>
    </row>
    <row r="198" spans="2:113" s="348" customFormat="1" ht="15.75" customHeight="1" hidden="1">
      <c r="B198" s="383"/>
      <c r="C198" s="383" t="str">
        <f>CONCATENATE(O83," Increment Arrears of ",C4,", ",C90,", ",L4)</f>
        <v>SG Increment Arrears of Sri. G.Ravinder Reddy, Surveyar, AD, Mineing </v>
      </c>
      <c r="D198" s="383"/>
      <c r="E198" s="383"/>
      <c r="F198" s="383"/>
      <c r="DF198" s="349"/>
      <c r="DI198" s="350"/>
    </row>
    <row r="199" spans="2:113" s="348" customFormat="1" ht="15.75" customHeight="1" hidden="1">
      <c r="B199" s="383"/>
      <c r="C199" s="383"/>
      <c r="D199" s="383"/>
      <c r="E199" s="383"/>
      <c r="F199" s="383"/>
      <c r="DF199" s="349"/>
      <c r="DI199" s="350"/>
    </row>
    <row r="200" spans="2:113" s="348" customFormat="1" ht="15.75" customHeight="1" hidden="1">
      <c r="B200" s="383"/>
      <c r="C200" s="383"/>
      <c r="D200" s="383"/>
      <c r="E200" s="383"/>
      <c r="F200" s="383"/>
      <c r="DF200" s="349"/>
      <c r="DI200" s="350"/>
    </row>
    <row r="201" spans="2:113" s="348" customFormat="1" ht="15.75" customHeight="1" hidden="1">
      <c r="B201" s="383"/>
      <c r="C201" s="383"/>
      <c r="D201" s="383"/>
      <c r="E201" s="383"/>
      <c r="F201" s="383"/>
      <c r="DF201" s="349"/>
      <c r="DI201" s="350"/>
    </row>
    <row r="202" spans="2:113" s="348" customFormat="1" ht="15.75" customHeight="1" hidden="1">
      <c r="B202" s="383"/>
      <c r="C202" s="383"/>
      <c r="D202" s="383"/>
      <c r="E202" s="383"/>
      <c r="F202" s="383"/>
      <c r="DF202" s="349"/>
      <c r="DI202" s="350"/>
    </row>
    <row r="203" spans="2:113" s="348" customFormat="1" ht="15.75" customHeight="1" hidden="1">
      <c r="B203" s="383"/>
      <c r="C203" s="383"/>
      <c r="D203" s="383"/>
      <c r="E203" s="383"/>
      <c r="F203" s="383"/>
      <c r="DF203" s="349"/>
      <c r="DI203" s="350"/>
    </row>
    <row r="204" spans="2:113" s="348" customFormat="1" ht="15.75" customHeight="1" hidden="1">
      <c r="B204" s="383"/>
      <c r="C204" s="383"/>
      <c r="D204" s="383"/>
      <c r="E204" s="383"/>
      <c r="F204" s="383"/>
      <c r="DF204" s="349"/>
      <c r="DI204" s="350"/>
    </row>
    <row r="205" spans="2:113" s="348" customFormat="1" ht="15.75" customHeight="1" hidden="1">
      <c r="B205" s="383"/>
      <c r="C205" s="383"/>
      <c r="D205" s="383"/>
      <c r="E205" s="383"/>
      <c r="F205" s="383"/>
      <c r="DF205" s="349"/>
      <c r="DI205" s="350"/>
    </row>
    <row r="206" spans="2:113" s="348" customFormat="1" ht="15.75" customHeight="1" hidden="1">
      <c r="B206" s="383"/>
      <c r="C206" s="383"/>
      <c r="D206" s="383"/>
      <c r="E206" s="383"/>
      <c r="F206" s="383"/>
      <c r="DF206" s="349"/>
      <c r="DI206" s="350"/>
    </row>
    <row r="207" spans="2:113" s="348" customFormat="1" ht="15.75" customHeight="1" hidden="1">
      <c r="B207" s="422" t="str">
        <f>E33</f>
        <v>01</v>
      </c>
      <c r="C207" s="419" t="str">
        <f>E33</f>
        <v>01</v>
      </c>
      <c r="D207" s="383"/>
      <c r="E207" s="383"/>
      <c r="F207" s="383"/>
      <c r="DF207" s="349"/>
      <c r="DI207" s="350"/>
    </row>
    <row r="208" spans="2:113" s="348" customFormat="1" ht="15.75" customHeight="1" hidden="1">
      <c r="B208" s="422" t="str">
        <f>F33</f>
        <v>08</v>
      </c>
      <c r="C208" s="383"/>
      <c r="D208" s="383"/>
      <c r="E208" s="383"/>
      <c r="F208" s="383"/>
      <c r="DF208" s="349"/>
      <c r="DI208" s="350"/>
    </row>
    <row r="209" spans="2:113" s="348" customFormat="1" ht="15.75" customHeight="1" hidden="1">
      <c r="B209" s="422" t="str">
        <f>G33</f>
        <v>2011</v>
      </c>
      <c r="C209" s="383" t="str">
        <f>CONCATENATE(B207,"/",B208,"/",B209)</f>
        <v>01/08/2011</v>
      </c>
      <c r="D209" s="383"/>
      <c r="E209" s="383"/>
      <c r="F209" s="383"/>
      <c r="DF209" s="349"/>
      <c r="DI209" s="350"/>
    </row>
    <row r="210" spans="2:113" s="348" customFormat="1" ht="15.75" customHeight="1" hidden="1">
      <c r="B210" s="383"/>
      <c r="C210" s="383"/>
      <c r="D210" s="383"/>
      <c r="E210" s="383"/>
      <c r="F210" s="383"/>
      <c r="DF210" s="349"/>
      <c r="DI210" s="350"/>
    </row>
    <row r="211" spans="2:113" s="348" customFormat="1" ht="15.75" customHeight="1" hidden="1">
      <c r="B211" s="383"/>
      <c r="C211" s="383"/>
      <c r="D211" s="383"/>
      <c r="E211" s="383"/>
      <c r="F211" s="383"/>
      <c r="DF211" s="349"/>
      <c r="DI211" s="350"/>
    </row>
    <row r="212" spans="2:113" s="348" customFormat="1" ht="15.75" customHeight="1" hidden="1">
      <c r="B212" s="383"/>
      <c r="C212" s="383"/>
      <c r="D212" s="383"/>
      <c r="E212" s="383"/>
      <c r="F212" s="383"/>
      <c r="DF212" s="349"/>
      <c r="DI212" s="350"/>
    </row>
    <row r="213" spans="2:113" s="348" customFormat="1" ht="15.75" customHeight="1" hidden="1">
      <c r="B213" s="383">
        <v>3</v>
      </c>
      <c r="C213" s="383" t="str">
        <f>VLOOKUP(B213,B216:C240,2,0)</f>
        <v>7100-21250</v>
      </c>
      <c r="D213" s="383"/>
      <c r="E213" s="383"/>
      <c r="F213" s="383"/>
      <c r="DF213" s="349"/>
      <c r="DI213" s="350"/>
    </row>
    <row r="214" spans="2:113" s="348" customFormat="1" ht="15.75" customHeight="1" hidden="1">
      <c r="B214" s="383">
        <v>3</v>
      </c>
      <c r="C214" s="383" t="str">
        <f>VLOOKUP(B214+1,B217:C241,2,0)</f>
        <v>7520-22430</v>
      </c>
      <c r="D214" s="383"/>
      <c r="E214" s="383"/>
      <c r="F214" s="383"/>
      <c r="DF214" s="349"/>
      <c r="DI214" s="350"/>
    </row>
    <row r="215" spans="2:113" s="348" customFormat="1" ht="15.75" customHeight="1" hidden="1">
      <c r="B215" s="383"/>
      <c r="C215" s="383"/>
      <c r="D215" s="383"/>
      <c r="E215" s="383"/>
      <c r="F215" s="383"/>
      <c r="DF215" s="349"/>
      <c r="DI215" s="350"/>
    </row>
    <row r="216" spans="2:113" s="348" customFormat="1" ht="15.75" customHeight="1" hidden="1">
      <c r="B216" s="383">
        <v>1</v>
      </c>
      <c r="C216" s="383" t="s">
        <v>588</v>
      </c>
      <c r="D216" s="383"/>
      <c r="E216" s="383"/>
      <c r="F216" s="383"/>
      <c r="DF216" s="349"/>
      <c r="DI216" s="350"/>
    </row>
    <row r="217" spans="2:113" s="348" customFormat="1" ht="15.75" customHeight="1" hidden="1">
      <c r="B217" s="383">
        <v>2</v>
      </c>
      <c r="C217" s="383" t="s">
        <v>589</v>
      </c>
      <c r="D217" s="383"/>
      <c r="E217" s="383"/>
      <c r="F217" s="383"/>
      <c r="DF217" s="349"/>
      <c r="DI217" s="350"/>
    </row>
    <row r="218" spans="2:113" s="348" customFormat="1" ht="15.75" customHeight="1" hidden="1">
      <c r="B218" s="383">
        <v>3</v>
      </c>
      <c r="C218" s="383" t="s">
        <v>590</v>
      </c>
      <c r="D218" s="383"/>
      <c r="E218" s="383"/>
      <c r="F218" s="383"/>
      <c r="DF218" s="349"/>
      <c r="DI218" s="350"/>
    </row>
    <row r="219" spans="2:113" s="348" customFormat="1" ht="15.75" customHeight="1" hidden="1">
      <c r="B219" s="383">
        <v>4</v>
      </c>
      <c r="C219" s="383" t="s">
        <v>591</v>
      </c>
      <c r="D219" s="383"/>
      <c r="E219" s="383"/>
      <c r="F219" s="383"/>
      <c r="DF219" s="349"/>
      <c r="DI219" s="350"/>
    </row>
    <row r="220" spans="2:113" s="348" customFormat="1" ht="15.75" customHeight="1" hidden="1">
      <c r="B220" s="383">
        <v>5</v>
      </c>
      <c r="C220" s="383" t="s">
        <v>592</v>
      </c>
      <c r="D220" s="383"/>
      <c r="E220" s="383"/>
      <c r="F220" s="383"/>
      <c r="DF220" s="349"/>
      <c r="DI220" s="350"/>
    </row>
    <row r="221" spans="2:113" s="348" customFormat="1" ht="15.75" customHeight="1" hidden="1">
      <c r="B221" s="383">
        <v>6</v>
      </c>
      <c r="C221" s="383" t="s">
        <v>593</v>
      </c>
      <c r="D221" s="383"/>
      <c r="E221" s="383"/>
      <c r="F221" s="383"/>
      <c r="DF221" s="349"/>
      <c r="DI221" s="350"/>
    </row>
    <row r="222" spans="2:113" s="348" customFormat="1" ht="15.75" customHeight="1" hidden="1">
      <c r="B222" s="383">
        <v>7</v>
      </c>
      <c r="C222" s="383" t="s">
        <v>594</v>
      </c>
      <c r="D222" s="383"/>
      <c r="E222" s="383"/>
      <c r="F222" s="383"/>
      <c r="DF222" s="349"/>
      <c r="DI222" s="350"/>
    </row>
    <row r="223" spans="2:113" s="348" customFormat="1" ht="15.75" customHeight="1" hidden="1">
      <c r="B223" s="383">
        <v>8</v>
      </c>
      <c r="C223" s="383" t="s">
        <v>595</v>
      </c>
      <c r="D223" s="383"/>
      <c r="E223" s="383"/>
      <c r="F223" s="383"/>
      <c r="DF223" s="349"/>
      <c r="DI223" s="350"/>
    </row>
    <row r="224" spans="2:113" s="348" customFormat="1" ht="15.75" customHeight="1" hidden="1">
      <c r="B224" s="383">
        <v>9</v>
      </c>
      <c r="C224" s="383" t="s">
        <v>596</v>
      </c>
      <c r="D224" s="383"/>
      <c r="E224" s="383"/>
      <c r="F224" s="383"/>
      <c r="DF224" s="349"/>
      <c r="DI224" s="350"/>
    </row>
    <row r="225" spans="2:113" s="348" customFormat="1" ht="15.75" customHeight="1" hidden="1">
      <c r="B225" s="383">
        <v>10</v>
      </c>
      <c r="C225" s="383" t="s">
        <v>597</v>
      </c>
      <c r="D225" s="383"/>
      <c r="E225" s="383"/>
      <c r="F225" s="383"/>
      <c r="DF225" s="349"/>
      <c r="DI225" s="350"/>
    </row>
    <row r="226" spans="2:113" s="348" customFormat="1" ht="15.75" customHeight="1" hidden="1">
      <c r="B226" s="383">
        <v>11</v>
      </c>
      <c r="C226" s="383" t="s">
        <v>332</v>
      </c>
      <c r="D226" s="383"/>
      <c r="E226" s="383"/>
      <c r="F226" s="383"/>
      <c r="DF226" s="349"/>
      <c r="DI226" s="350"/>
    </row>
    <row r="227" spans="2:113" s="348" customFormat="1" ht="15.75" customHeight="1" hidden="1">
      <c r="B227" s="383">
        <v>12</v>
      </c>
      <c r="C227" s="383" t="s">
        <v>333</v>
      </c>
      <c r="D227" s="383"/>
      <c r="E227" s="383"/>
      <c r="F227" s="383"/>
      <c r="DF227" s="349"/>
      <c r="DI227" s="350"/>
    </row>
    <row r="228" spans="2:113" s="348" customFormat="1" ht="15.75" customHeight="1" hidden="1">
      <c r="B228" s="383">
        <v>13</v>
      </c>
      <c r="C228" s="383" t="s">
        <v>598</v>
      </c>
      <c r="D228" s="383"/>
      <c r="E228" s="383"/>
      <c r="F228" s="383"/>
      <c r="DF228" s="349"/>
      <c r="DI228" s="350"/>
    </row>
    <row r="229" spans="2:113" s="348" customFormat="1" ht="15.75" customHeight="1" hidden="1">
      <c r="B229" s="383">
        <v>14</v>
      </c>
      <c r="C229" s="383" t="s">
        <v>599</v>
      </c>
      <c r="D229" s="383"/>
      <c r="E229" s="383"/>
      <c r="F229" s="383"/>
      <c r="DF229" s="349"/>
      <c r="DI229" s="350"/>
    </row>
    <row r="230" spans="2:113" s="348" customFormat="1" ht="15.75" customHeight="1" hidden="1">
      <c r="B230" s="383">
        <v>15</v>
      </c>
      <c r="C230" s="383" t="s">
        <v>600</v>
      </c>
      <c r="D230" s="383"/>
      <c r="E230" s="383"/>
      <c r="F230" s="383"/>
      <c r="DF230" s="349"/>
      <c r="DI230" s="350"/>
    </row>
    <row r="231" spans="2:113" s="348" customFormat="1" ht="15.75" customHeight="1" hidden="1">
      <c r="B231" s="383">
        <v>16</v>
      </c>
      <c r="C231" s="383" t="s">
        <v>601</v>
      </c>
      <c r="D231" s="383"/>
      <c r="E231" s="383"/>
      <c r="F231" s="383"/>
      <c r="DF231" s="349"/>
      <c r="DI231" s="350"/>
    </row>
    <row r="232" spans="2:113" s="348" customFormat="1" ht="15.75" customHeight="1" hidden="1">
      <c r="B232" s="383">
        <v>17</v>
      </c>
      <c r="C232" s="383" t="s">
        <v>334</v>
      </c>
      <c r="D232" s="383"/>
      <c r="E232" s="383"/>
      <c r="F232" s="383"/>
      <c r="DF232" s="349"/>
      <c r="DI232" s="350"/>
    </row>
    <row r="233" spans="2:113" s="348" customFormat="1" ht="15.75" customHeight="1" hidden="1">
      <c r="B233" s="383">
        <v>18</v>
      </c>
      <c r="C233" s="383" t="s">
        <v>339</v>
      </c>
      <c r="D233" s="383"/>
      <c r="E233" s="383"/>
      <c r="F233" s="383"/>
      <c r="DF233" s="349"/>
      <c r="DI233" s="350"/>
    </row>
    <row r="234" spans="2:113" s="348" customFormat="1" ht="15.75" customHeight="1" hidden="1">
      <c r="B234" s="383">
        <v>19</v>
      </c>
      <c r="C234" s="383" t="s">
        <v>602</v>
      </c>
      <c r="D234" s="383"/>
      <c r="E234" s="383"/>
      <c r="F234" s="383"/>
      <c r="DF234" s="349"/>
      <c r="DI234" s="350"/>
    </row>
    <row r="235" spans="2:113" s="348" customFormat="1" ht="15.75" customHeight="1" hidden="1">
      <c r="B235" s="383">
        <v>20</v>
      </c>
      <c r="C235" s="383" t="s">
        <v>338</v>
      </c>
      <c r="D235" s="383"/>
      <c r="E235" s="383"/>
      <c r="F235" s="383"/>
      <c r="DF235" s="349"/>
      <c r="DI235" s="350"/>
    </row>
    <row r="236" spans="2:113" s="348" customFormat="1" ht="15.75" customHeight="1" hidden="1">
      <c r="B236" s="383">
        <v>21</v>
      </c>
      <c r="C236" s="383" t="s">
        <v>340</v>
      </c>
      <c r="D236" s="383"/>
      <c r="E236" s="383"/>
      <c r="F236" s="383"/>
      <c r="DF236" s="349"/>
      <c r="DI236" s="350"/>
    </row>
    <row r="237" spans="2:113" s="348" customFormat="1" ht="15.75" customHeight="1" hidden="1">
      <c r="B237" s="383">
        <v>22</v>
      </c>
      <c r="C237" s="383" t="s">
        <v>603</v>
      </c>
      <c r="D237" s="383"/>
      <c r="E237" s="383"/>
      <c r="F237" s="383"/>
      <c r="DF237" s="349"/>
      <c r="DI237" s="350"/>
    </row>
    <row r="238" spans="2:113" s="348" customFormat="1" ht="15.75" customHeight="1" hidden="1">
      <c r="B238" s="383">
        <v>23</v>
      </c>
      <c r="C238" s="383" t="s">
        <v>341</v>
      </c>
      <c r="D238" s="383"/>
      <c r="E238" s="383"/>
      <c r="F238" s="383"/>
      <c r="DF238" s="349"/>
      <c r="DI238" s="350"/>
    </row>
    <row r="239" spans="2:113" s="348" customFormat="1" ht="15.75" customHeight="1" hidden="1">
      <c r="B239" s="383">
        <v>24</v>
      </c>
      <c r="C239" s="383" t="s">
        <v>604</v>
      </c>
      <c r="D239" s="383"/>
      <c r="E239" s="383"/>
      <c r="F239" s="383"/>
      <c r="DF239" s="349"/>
      <c r="DI239" s="350"/>
    </row>
    <row r="240" spans="2:113" s="348" customFormat="1" ht="15.75" customHeight="1" hidden="1">
      <c r="B240" s="383">
        <v>25</v>
      </c>
      <c r="C240" s="383" t="s">
        <v>605</v>
      </c>
      <c r="D240" s="383"/>
      <c r="E240" s="383"/>
      <c r="F240" s="383"/>
      <c r="DF240" s="349"/>
      <c r="DI240" s="350"/>
    </row>
    <row r="241" spans="2:113" s="348" customFormat="1" ht="15.75" customHeight="1" hidden="1">
      <c r="B241" s="383">
        <v>26</v>
      </c>
      <c r="C241" s="383" t="s">
        <v>606</v>
      </c>
      <c r="D241" s="383"/>
      <c r="E241" s="383"/>
      <c r="F241" s="383"/>
      <c r="DF241" s="349"/>
      <c r="DI241" s="350"/>
    </row>
    <row r="242" spans="2:113" s="348" customFormat="1" ht="15.75" customHeight="1" hidden="1">
      <c r="B242" s="383"/>
      <c r="C242" s="383"/>
      <c r="D242" s="383"/>
      <c r="E242" s="383"/>
      <c r="F242" s="383"/>
      <c r="DF242" s="349"/>
      <c r="DI242" s="350"/>
    </row>
    <row r="243" spans="2:113" s="348" customFormat="1" ht="15.75" customHeight="1" hidden="1">
      <c r="B243" s="383"/>
      <c r="C243" s="383"/>
      <c r="D243" s="383"/>
      <c r="E243" s="383"/>
      <c r="F243" s="383"/>
      <c r="DF243" s="349"/>
      <c r="DI243" s="350"/>
    </row>
    <row r="244" spans="2:113" s="348" customFormat="1" ht="15.75" customHeight="1" hidden="1">
      <c r="B244" s="383"/>
      <c r="C244" s="383"/>
      <c r="D244" s="383"/>
      <c r="E244" s="383"/>
      <c r="F244" s="383"/>
      <c r="DF244" s="349"/>
      <c r="DI244" s="350"/>
    </row>
    <row r="245" spans="2:113" s="348" customFormat="1" ht="15.75" customHeight="1" hidden="1">
      <c r="B245" s="383"/>
      <c r="C245" s="383"/>
      <c r="D245" s="383"/>
      <c r="E245" s="383"/>
      <c r="F245" s="383"/>
      <c r="DF245" s="349"/>
      <c r="DI245" s="350"/>
    </row>
    <row r="246" spans="2:113" s="348" customFormat="1" ht="15.75" customHeight="1" hidden="1">
      <c r="B246" s="383"/>
      <c r="C246" s="383"/>
      <c r="D246" s="383"/>
      <c r="E246" s="383"/>
      <c r="F246" s="383"/>
      <c r="DF246" s="349"/>
      <c r="DI246" s="350"/>
    </row>
    <row r="247" spans="2:113" s="348" customFormat="1" ht="15.75" customHeight="1" hidden="1">
      <c r="B247" s="383"/>
      <c r="C247" s="383"/>
      <c r="D247" s="383"/>
      <c r="E247" s="383"/>
      <c r="F247" s="383"/>
      <c r="DF247" s="349"/>
      <c r="DI247" s="350"/>
    </row>
    <row r="248" spans="2:113" s="348" customFormat="1" ht="15.75" customHeight="1" hidden="1">
      <c r="B248" s="383"/>
      <c r="C248" s="383"/>
      <c r="D248" s="383"/>
      <c r="E248" s="383"/>
      <c r="F248" s="383"/>
      <c r="DF248" s="349"/>
      <c r="DI248" s="350"/>
    </row>
    <row r="249" spans="2:113" s="348" customFormat="1" ht="15.75" customHeight="1" hidden="1">
      <c r="B249" s="383"/>
      <c r="C249" s="383"/>
      <c r="D249" s="383"/>
      <c r="E249" s="383"/>
      <c r="F249" s="383"/>
      <c r="DF249" s="349"/>
      <c r="DI249" s="350"/>
    </row>
    <row r="250" spans="2:113" s="348" customFormat="1" ht="15.75" customHeight="1" hidden="1">
      <c r="B250" s="383"/>
      <c r="C250" s="383"/>
      <c r="D250" s="383"/>
      <c r="E250" s="383"/>
      <c r="F250" s="383"/>
      <c r="DF250" s="349"/>
      <c r="DI250" s="350"/>
    </row>
    <row r="251" spans="2:113" s="348" customFormat="1" ht="15.75" customHeight="1" hidden="1">
      <c r="B251" s="383"/>
      <c r="C251" s="383"/>
      <c r="D251" s="383"/>
      <c r="E251" s="383"/>
      <c r="F251" s="383"/>
      <c r="DF251" s="349"/>
      <c r="DI251" s="350"/>
    </row>
    <row r="252" spans="2:113" s="348" customFormat="1" ht="15.75" customHeight="1" hidden="1">
      <c r="B252" s="383"/>
      <c r="C252" s="383"/>
      <c r="D252" s="383"/>
      <c r="E252" s="383"/>
      <c r="F252" s="383"/>
      <c r="DF252" s="349"/>
      <c r="DI252" s="350"/>
    </row>
    <row r="253" spans="2:113" s="348" customFormat="1" ht="15.75" customHeight="1" hidden="1">
      <c r="B253" s="383"/>
      <c r="C253" s="383"/>
      <c r="D253" s="383"/>
      <c r="E253" s="383"/>
      <c r="F253" s="383"/>
      <c r="DF253" s="349"/>
      <c r="DI253" s="350"/>
    </row>
    <row r="254" spans="2:113" s="348" customFormat="1" ht="15.75" customHeight="1" hidden="1">
      <c r="B254" s="383"/>
      <c r="C254" s="383"/>
      <c r="D254" s="383"/>
      <c r="E254" s="383"/>
      <c r="F254" s="383"/>
      <c r="DF254" s="349"/>
      <c r="DI254" s="350"/>
    </row>
    <row r="255" spans="2:113" s="348" customFormat="1" ht="15.75" customHeight="1" hidden="1">
      <c r="B255" s="383"/>
      <c r="C255" s="383"/>
      <c r="D255" s="383"/>
      <c r="E255" s="383"/>
      <c r="F255" s="383"/>
      <c r="DF255" s="349"/>
      <c r="DI255" s="350"/>
    </row>
    <row r="256" spans="2:113" s="348" customFormat="1" ht="15.75" customHeight="1" hidden="1">
      <c r="B256" s="383"/>
      <c r="C256" s="383"/>
      <c r="D256" s="383"/>
      <c r="E256" s="383"/>
      <c r="F256" s="383"/>
      <c r="DF256" s="349"/>
      <c r="DI256" s="350"/>
    </row>
    <row r="257" spans="2:113" s="348" customFormat="1" ht="15.75" customHeight="1" hidden="1">
      <c r="B257" s="383"/>
      <c r="C257" s="383"/>
      <c r="D257" s="383"/>
      <c r="E257" s="383"/>
      <c r="F257" s="383"/>
      <c r="DF257" s="349"/>
      <c r="DI257" s="350"/>
    </row>
    <row r="258" spans="2:113" s="348" customFormat="1" ht="15.75" customHeight="1" hidden="1">
      <c r="B258" s="383"/>
      <c r="C258" s="383"/>
      <c r="D258" s="383"/>
      <c r="E258" s="383"/>
      <c r="F258" s="383"/>
      <c r="DF258" s="349"/>
      <c r="DI258" s="350"/>
    </row>
    <row r="259" spans="2:113" s="348" customFormat="1" ht="15.75" customHeight="1" hidden="1">
      <c r="B259" s="383"/>
      <c r="C259" s="383"/>
      <c r="D259" s="383"/>
      <c r="E259" s="383"/>
      <c r="F259" s="383"/>
      <c r="DF259" s="349"/>
      <c r="DI259" s="350"/>
    </row>
    <row r="260" spans="2:113" s="348" customFormat="1" ht="15.75" customHeight="1" hidden="1">
      <c r="B260" s="383"/>
      <c r="C260" s="383"/>
      <c r="D260" s="383"/>
      <c r="E260" s="383"/>
      <c r="F260" s="383"/>
      <c r="DF260" s="349"/>
      <c r="DI260" s="350"/>
    </row>
    <row r="261" spans="2:113" s="348" customFormat="1" ht="15.75" customHeight="1" hidden="1">
      <c r="B261" s="383"/>
      <c r="C261" s="383"/>
      <c r="D261" s="383"/>
      <c r="E261" s="383"/>
      <c r="F261" s="383"/>
      <c r="DF261" s="349"/>
      <c r="DI261" s="350"/>
    </row>
    <row r="262" spans="2:113" s="348" customFormat="1" ht="15.75" customHeight="1" hidden="1">
      <c r="B262" s="383"/>
      <c r="C262" s="383"/>
      <c r="D262" s="383"/>
      <c r="E262" s="383"/>
      <c r="F262" s="383"/>
      <c r="DF262" s="349"/>
      <c r="DI262" s="350"/>
    </row>
    <row r="263" spans="2:113" s="348" customFormat="1" ht="15.75" customHeight="1" hidden="1">
      <c r="B263" s="383"/>
      <c r="C263" s="383"/>
      <c r="D263" s="383"/>
      <c r="E263" s="383"/>
      <c r="F263" s="383"/>
      <c r="DF263" s="349"/>
      <c r="DI263" s="350"/>
    </row>
    <row r="264" spans="2:113" s="348" customFormat="1" ht="15.75" customHeight="1" hidden="1">
      <c r="B264" s="383"/>
      <c r="C264" s="383"/>
      <c r="D264" s="383"/>
      <c r="E264" s="383"/>
      <c r="F264" s="383"/>
      <c r="DF264" s="349"/>
      <c r="DI264" s="350"/>
    </row>
    <row r="265" spans="2:113" s="325" customFormat="1" ht="15.75" customHeight="1" hidden="1">
      <c r="B265" s="328"/>
      <c r="C265" s="328"/>
      <c r="D265" s="328"/>
      <c r="E265" s="328"/>
      <c r="F265" s="328"/>
      <c r="DF265" s="326"/>
      <c r="DI265" s="327"/>
    </row>
    <row r="266" spans="2:113" s="325" customFormat="1" ht="15.75" customHeight="1" hidden="1">
      <c r="B266" s="328"/>
      <c r="C266" s="328"/>
      <c r="D266" s="328"/>
      <c r="E266" s="328"/>
      <c r="F266" s="328"/>
      <c r="DF266" s="326"/>
      <c r="DI266" s="327"/>
    </row>
    <row r="267" spans="2:113" s="325" customFormat="1" ht="15.75" customHeight="1" hidden="1">
      <c r="B267" s="328"/>
      <c r="C267" s="328"/>
      <c r="D267" s="328"/>
      <c r="E267" s="328"/>
      <c r="F267" s="328"/>
      <c r="DF267" s="326"/>
      <c r="DI267" s="327"/>
    </row>
    <row r="268" spans="2:113" s="325" customFormat="1" ht="15.75" customHeight="1" hidden="1">
      <c r="B268" s="328"/>
      <c r="C268" s="328"/>
      <c r="D268" s="328"/>
      <c r="E268" s="328"/>
      <c r="F268" s="328"/>
      <c r="DF268" s="326"/>
      <c r="DI268" s="327"/>
    </row>
    <row r="269" spans="2:113" s="325" customFormat="1" ht="15.75" customHeight="1" hidden="1">
      <c r="B269" s="328"/>
      <c r="C269" s="328"/>
      <c r="D269" s="328"/>
      <c r="E269" s="328"/>
      <c r="F269" s="328"/>
      <c r="DF269" s="326"/>
      <c r="DI269" s="327"/>
    </row>
    <row r="270" spans="2:113" s="325" customFormat="1" ht="15.75" customHeight="1" hidden="1">
      <c r="B270" s="328"/>
      <c r="C270" s="328"/>
      <c r="D270" s="328"/>
      <c r="E270" s="328"/>
      <c r="F270" s="328"/>
      <c r="DF270" s="326"/>
      <c r="DI270" s="327"/>
    </row>
    <row r="271" spans="2:113" s="325" customFormat="1" ht="15.75" customHeight="1" hidden="1">
      <c r="B271" s="328"/>
      <c r="C271" s="328"/>
      <c r="D271" s="328"/>
      <c r="E271" s="328"/>
      <c r="F271" s="328"/>
      <c r="DF271" s="326"/>
      <c r="DI271" s="327"/>
    </row>
    <row r="272" spans="2:113" s="325" customFormat="1" ht="15.75" customHeight="1" hidden="1">
      <c r="B272" s="328"/>
      <c r="C272" s="328"/>
      <c r="D272" s="328"/>
      <c r="E272" s="328"/>
      <c r="F272" s="328"/>
      <c r="DF272" s="326"/>
      <c r="DI272" s="327"/>
    </row>
    <row r="273" spans="2:113" s="325" customFormat="1" ht="15.75" customHeight="1" hidden="1">
      <c r="B273" s="328"/>
      <c r="C273" s="328"/>
      <c r="D273" s="328"/>
      <c r="E273" s="328"/>
      <c r="F273" s="328"/>
      <c r="DF273" s="326"/>
      <c r="DI273" s="327"/>
    </row>
    <row r="274" spans="2:113" s="325" customFormat="1" ht="15.75" customHeight="1" hidden="1">
      <c r="B274" s="328"/>
      <c r="C274" s="328"/>
      <c r="D274" s="328"/>
      <c r="E274" s="328"/>
      <c r="F274" s="328"/>
      <c r="DF274" s="326"/>
      <c r="DI274" s="327"/>
    </row>
    <row r="275" spans="2:113" s="325" customFormat="1" ht="15.75" customHeight="1" hidden="1">
      <c r="B275" s="328"/>
      <c r="C275" s="328"/>
      <c r="D275" s="328"/>
      <c r="E275" s="328"/>
      <c r="F275" s="328"/>
      <c r="DF275" s="326"/>
      <c r="DI275" s="327"/>
    </row>
    <row r="276" spans="2:113" s="325" customFormat="1" ht="15.75" customHeight="1" hidden="1">
      <c r="B276" s="328"/>
      <c r="C276" s="328"/>
      <c r="D276" s="328"/>
      <c r="E276" s="328"/>
      <c r="F276" s="328"/>
      <c r="DF276" s="326"/>
      <c r="DI276" s="327"/>
    </row>
    <row r="277" spans="2:113" s="325" customFormat="1" ht="15.75" customHeight="1" hidden="1">
      <c r="B277" s="328"/>
      <c r="C277" s="328"/>
      <c r="D277" s="328"/>
      <c r="E277" s="328"/>
      <c r="F277" s="328"/>
      <c r="DF277" s="326"/>
      <c r="DI277" s="327"/>
    </row>
    <row r="278" spans="2:113" s="325" customFormat="1" ht="15.75" customHeight="1" hidden="1">
      <c r="B278" s="328"/>
      <c r="C278" s="328"/>
      <c r="D278" s="328"/>
      <c r="E278" s="328"/>
      <c r="F278" s="328"/>
      <c r="DF278" s="326"/>
      <c r="DI278" s="327"/>
    </row>
    <row r="279" spans="2:113" s="325" customFormat="1" ht="15.75" customHeight="1" hidden="1">
      <c r="B279" s="328"/>
      <c r="C279" s="328"/>
      <c r="D279" s="328"/>
      <c r="E279" s="328"/>
      <c r="F279" s="328"/>
      <c r="DF279" s="326"/>
      <c r="DI279" s="327"/>
    </row>
    <row r="280" spans="2:113" s="325" customFormat="1" ht="15.75" customHeight="1" hidden="1">
      <c r="B280" s="328"/>
      <c r="C280" s="328"/>
      <c r="D280" s="328"/>
      <c r="E280" s="328"/>
      <c r="F280" s="328"/>
      <c r="DF280" s="326"/>
      <c r="DI280" s="327"/>
    </row>
    <row r="281" spans="2:113" s="325" customFormat="1" ht="15.75" customHeight="1" hidden="1">
      <c r="B281" s="328"/>
      <c r="C281" s="328"/>
      <c r="D281" s="328"/>
      <c r="E281" s="328"/>
      <c r="F281" s="328"/>
      <c r="DF281" s="326"/>
      <c r="DI281" s="327"/>
    </row>
    <row r="282" spans="2:113" s="325" customFormat="1" ht="15.75" customHeight="1" hidden="1">
      <c r="B282" s="328"/>
      <c r="C282" s="328"/>
      <c r="D282" s="328"/>
      <c r="E282" s="328"/>
      <c r="F282" s="328"/>
      <c r="DF282" s="326"/>
      <c r="DI282" s="327"/>
    </row>
    <row r="283" spans="2:113" s="325" customFormat="1" ht="15.75" customHeight="1" hidden="1">
      <c r="B283" s="328"/>
      <c r="C283" s="328"/>
      <c r="D283" s="328"/>
      <c r="E283" s="328"/>
      <c r="F283" s="328"/>
      <c r="DF283" s="326"/>
      <c r="DI283" s="327"/>
    </row>
    <row r="284" spans="2:113" s="325" customFormat="1" ht="15.75" customHeight="1" hidden="1">
      <c r="B284" s="328"/>
      <c r="C284" s="328"/>
      <c r="D284" s="328"/>
      <c r="E284" s="328"/>
      <c r="F284" s="328"/>
      <c r="DF284" s="326"/>
      <c r="DI284" s="327"/>
    </row>
    <row r="285" spans="2:113" s="325" customFormat="1" ht="15.75" customHeight="1" hidden="1">
      <c r="B285" s="328"/>
      <c r="C285" s="328"/>
      <c r="D285" s="328"/>
      <c r="E285" s="328"/>
      <c r="F285" s="328"/>
      <c r="DF285" s="326"/>
      <c r="DI285" s="327"/>
    </row>
    <row r="286" spans="2:113" s="325" customFormat="1" ht="15.75" customHeight="1" hidden="1">
      <c r="B286" s="328"/>
      <c r="C286" s="328"/>
      <c r="D286" s="328"/>
      <c r="E286" s="328"/>
      <c r="F286" s="328"/>
      <c r="DF286" s="326"/>
      <c r="DI286" s="327"/>
    </row>
    <row r="287" spans="2:113" s="325" customFormat="1" ht="15.75" customHeight="1" hidden="1">
      <c r="B287" s="328"/>
      <c r="C287" s="328"/>
      <c r="D287" s="328"/>
      <c r="E287" s="328"/>
      <c r="F287" s="328"/>
      <c r="DF287" s="326"/>
      <c r="DI287" s="327"/>
    </row>
    <row r="288" spans="2:113" s="325" customFormat="1" ht="15.75" customHeight="1" hidden="1">
      <c r="B288" s="328"/>
      <c r="C288" s="328"/>
      <c r="D288" s="328"/>
      <c r="E288" s="328"/>
      <c r="F288" s="328"/>
      <c r="DF288" s="326"/>
      <c r="DI288" s="327"/>
    </row>
    <row r="289" spans="2:113" s="325" customFormat="1" ht="15.75" customHeight="1" hidden="1">
      <c r="B289" s="328"/>
      <c r="C289" s="328"/>
      <c r="D289" s="328"/>
      <c r="E289" s="328"/>
      <c r="F289" s="328"/>
      <c r="DF289" s="326"/>
      <c r="DI289" s="327"/>
    </row>
    <row r="290" spans="2:113" s="325" customFormat="1" ht="15.75" customHeight="1" hidden="1">
      <c r="B290" s="328"/>
      <c r="C290" s="328"/>
      <c r="D290" s="328"/>
      <c r="E290" s="328"/>
      <c r="F290" s="328"/>
      <c r="DF290" s="326"/>
      <c r="DI290" s="327"/>
    </row>
    <row r="291" spans="2:113" s="325" customFormat="1" ht="15.75" customHeight="1" hidden="1">
      <c r="B291" s="328"/>
      <c r="C291" s="328"/>
      <c r="D291" s="328"/>
      <c r="E291" s="328"/>
      <c r="F291" s="328"/>
      <c r="DF291" s="326"/>
      <c r="DI291" s="327"/>
    </row>
    <row r="292" spans="2:113" s="325" customFormat="1" ht="15.75" customHeight="1" hidden="1">
      <c r="B292" s="328"/>
      <c r="C292" s="328"/>
      <c r="D292" s="328"/>
      <c r="E292" s="328"/>
      <c r="F292" s="328"/>
      <c r="DF292" s="326"/>
      <c r="DI292" s="327"/>
    </row>
    <row r="293" spans="2:113" s="325" customFormat="1" ht="15.75" customHeight="1" hidden="1">
      <c r="B293" s="328"/>
      <c r="C293" s="328"/>
      <c r="D293" s="328"/>
      <c r="E293" s="328"/>
      <c r="F293" s="328"/>
      <c r="DF293" s="326"/>
      <c r="DI293" s="327"/>
    </row>
    <row r="294" spans="2:113" s="325" customFormat="1" ht="15.75" customHeight="1" hidden="1">
      <c r="B294" s="328"/>
      <c r="C294" s="328"/>
      <c r="D294" s="328"/>
      <c r="E294" s="328"/>
      <c r="F294" s="328"/>
      <c r="DF294" s="326"/>
      <c r="DI294" s="327"/>
    </row>
    <row r="295" spans="2:113" s="325" customFormat="1" ht="15.75" customHeight="1" hidden="1">
      <c r="B295" s="328"/>
      <c r="C295" s="328"/>
      <c r="D295" s="328"/>
      <c r="E295" s="328"/>
      <c r="F295" s="328"/>
      <c r="DF295" s="326"/>
      <c r="DI295" s="327"/>
    </row>
    <row r="296" spans="2:113" s="325" customFormat="1" ht="15.75" customHeight="1" hidden="1">
      <c r="B296" s="328"/>
      <c r="C296" s="328"/>
      <c r="D296" s="328"/>
      <c r="E296" s="328"/>
      <c r="F296" s="328"/>
      <c r="DF296" s="326"/>
      <c r="DI296" s="327"/>
    </row>
    <row r="297" spans="2:113" s="325" customFormat="1" ht="15.75" customHeight="1" hidden="1">
      <c r="B297" s="328"/>
      <c r="C297" s="328"/>
      <c r="D297" s="328"/>
      <c r="E297" s="328"/>
      <c r="F297" s="328"/>
      <c r="DF297" s="326"/>
      <c r="DI297" s="327"/>
    </row>
    <row r="298" spans="2:113" s="325" customFormat="1" ht="15.75" customHeight="1" hidden="1">
      <c r="B298" s="328"/>
      <c r="C298" s="328"/>
      <c r="D298" s="328"/>
      <c r="E298" s="328"/>
      <c r="F298" s="328"/>
      <c r="DF298" s="326"/>
      <c r="DI298" s="327"/>
    </row>
    <row r="299" spans="2:113" s="325" customFormat="1" ht="15.75" customHeight="1" hidden="1">
      <c r="B299" s="328"/>
      <c r="C299" s="328"/>
      <c r="D299" s="328"/>
      <c r="E299" s="328"/>
      <c r="F299" s="328"/>
      <c r="DF299" s="326"/>
      <c r="DI299" s="327"/>
    </row>
    <row r="300" spans="2:113" s="325" customFormat="1" ht="15.75" customHeight="1" hidden="1">
      <c r="B300" s="328"/>
      <c r="C300" s="328"/>
      <c r="D300" s="328"/>
      <c r="E300" s="328"/>
      <c r="F300" s="328"/>
      <c r="DF300" s="326"/>
      <c r="DI300" s="327"/>
    </row>
    <row r="301" spans="2:113" s="325" customFormat="1" ht="15.75" customHeight="1" hidden="1">
      <c r="B301" s="328"/>
      <c r="C301" s="328"/>
      <c r="D301" s="328"/>
      <c r="E301" s="328"/>
      <c r="F301" s="328"/>
      <c r="DF301" s="326"/>
      <c r="DI301" s="327"/>
    </row>
    <row r="302" spans="2:113" s="325" customFormat="1" ht="15.75" customHeight="1" hidden="1">
      <c r="B302" s="328"/>
      <c r="C302" s="328"/>
      <c r="D302" s="328"/>
      <c r="E302" s="328"/>
      <c r="F302" s="328"/>
      <c r="DF302" s="326"/>
      <c r="DI302" s="327"/>
    </row>
    <row r="303" spans="2:113" s="325" customFormat="1" ht="15.75" customHeight="1" hidden="1">
      <c r="B303" s="328"/>
      <c r="C303" s="328"/>
      <c r="D303" s="328"/>
      <c r="E303" s="328"/>
      <c r="F303" s="328"/>
      <c r="DF303" s="326"/>
      <c r="DI303" s="327"/>
    </row>
    <row r="304" spans="2:113" s="325" customFormat="1" ht="15.75" customHeight="1" hidden="1">
      <c r="B304" s="328"/>
      <c r="C304" s="328"/>
      <c r="D304" s="328"/>
      <c r="E304" s="328"/>
      <c r="F304" s="328"/>
      <c r="DF304" s="326"/>
      <c r="DI304" s="327"/>
    </row>
    <row r="305" spans="2:113" s="325" customFormat="1" ht="15.75" customHeight="1" hidden="1">
      <c r="B305" s="328"/>
      <c r="C305" s="328"/>
      <c r="D305" s="328"/>
      <c r="E305" s="328"/>
      <c r="F305" s="328"/>
      <c r="DF305" s="326"/>
      <c r="DI305" s="327"/>
    </row>
    <row r="306" spans="2:113" s="325" customFormat="1" ht="15.75" customHeight="1" hidden="1">
      <c r="B306" s="328"/>
      <c r="C306" s="328"/>
      <c r="D306" s="328"/>
      <c r="E306" s="328"/>
      <c r="F306" s="328"/>
      <c r="DF306" s="326"/>
      <c r="DI306" s="327"/>
    </row>
    <row r="307" spans="2:113" s="325" customFormat="1" ht="15.75" customHeight="1" hidden="1">
      <c r="B307" s="328"/>
      <c r="C307" s="328"/>
      <c r="D307" s="328"/>
      <c r="E307" s="328"/>
      <c r="F307" s="328"/>
      <c r="DF307" s="326"/>
      <c r="DI307" s="327"/>
    </row>
    <row r="308" spans="2:113" s="325" customFormat="1" ht="15.75" customHeight="1" hidden="1">
      <c r="B308" s="328"/>
      <c r="C308" s="328"/>
      <c r="D308" s="328"/>
      <c r="E308" s="328"/>
      <c r="F308" s="328"/>
      <c r="DF308" s="326"/>
      <c r="DI308" s="327"/>
    </row>
    <row r="309" spans="2:113" s="325" customFormat="1" ht="15.75" customHeight="1" hidden="1">
      <c r="B309" s="328"/>
      <c r="C309" s="328"/>
      <c r="D309" s="328"/>
      <c r="E309" s="328"/>
      <c r="F309" s="328"/>
      <c r="DF309" s="326"/>
      <c r="DI309" s="327"/>
    </row>
    <row r="310" spans="2:113" s="325" customFormat="1" ht="15.75" customHeight="1" hidden="1">
      <c r="B310" s="328"/>
      <c r="C310" s="328"/>
      <c r="D310" s="328"/>
      <c r="E310" s="328"/>
      <c r="F310" s="328"/>
      <c r="DF310" s="326"/>
      <c r="DI310" s="327"/>
    </row>
    <row r="311" spans="2:113" s="325" customFormat="1" ht="15.75" customHeight="1" hidden="1">
      <c r="B311" s="328"/>
      <c r="C311" s="328"/>
      <c r="D311" s="328"/>
      <c r="E311" s="328"/>
      <c r="F311" s="328"/>
      <c r="DF311" s="326"/>
      <c r="DI311" s="327"/>
    </row>
    <row r="312" spans="2:113" s="325" customFormat="1" ht="15.75" customHeight="1" hidden="1">
      <c r="B312" s="328"/>
      <c r="C312" s="328"/>
      <c r="D312" s="328"/>
      <c r="E312" s="328"/>
      <c r="F312" s="328"/>
      <c r="DF312" s="326"/>
      <c r="DI312" s="327"/>
    </row>
    <row r="313" spans="2:113" s="325" customFormat="1" ht="15.75" customHeight="1" hidden="1">
      <c r="B313" s="328"/>
      <c r="C313" s="328"/>
      <c r="D313" s="328"/>
      <c r="E313" s="328"/>
      <c r="F313" s="328"/>
      <c r="DF313" s="326"/>
      <c r="DI313" s="327"/>
    </row>
    <row r="314" spans="2:113" s="325" customFormat="1" ht="15.75" customHeight="1" hidden="1">
      <c r="B314" s="328"/>
      <c r="C314" s="328"/>
      <c r="D314" s="328"/>
      <c r="E314" s="328"/>
      <c r="F314" s="328"/>
      <c r="DF314" s="326"/>
      <c r="DI314" s="327"/>
    </row>
    <row r="315" spans="2:113" s="325" customFormat="1" ht="15.75" customHeight="1" hidden="1">
      <c r="B315" s="328"/>
      <c r="C315" s="328"/>
      <c r="D315" s="328"/>
      <c r="E315" s="328"/>
      <c r="F315" s="328"/>
      <c r="DF315" s="326"/>
      <c r="DI315" s="327"/>
    </row>
    <row r="316" spans="2:113" s="325" customFormat="1" ht="15.75" customHeight="1" hidden="1">
      <c r="B316" s="328"/>
      <c r="C316" s="328"/>
      <c r="D316" s="328"/>
      <c r="E316" s="328"/>
      <c r="F316" s="328"/>
      <c r="DF316" s="326"/>
      <c r="DI316" s="327"/>
    </row>
    <row r="317" spans="2:113" s="325" customFormat="1" ht="15.75" customHeight="1" hidden="1">
      <c r="B317" s="328"/>
      <c r="C317" s="328"/>
      <c r="D317" s="328"/>
      <c r="E317" s="328"/>
      <c r="F317" s="328"/>
      <c r="DF317" s="326"/>
      <c r="DI317" s="327"/>
    </row>
    <row r="318" spans="2:113" s="325" customFormat="1" ht="15.75" customHeight="1" hidden="1">
      <c r="B318" s="328"/>
      <c r="C318" s="328"/>
      <c r="D318" s="328"/>
      <c r="E318" s="328"/>
      <c r="F318" s="328"/>
      <c r="DF318" s="326"/>
      <c r="DI318" s="327"/>
    </row>
    <row r="319" spans="2:113" s="325" customFormat="1" ht="15.75" customHeight="1" hidden="1">
      <c r="B319" s="328"/>
      <c r="C319" s="328"/>
      <c r="D319" s="328"/>
      <c r="E319" s="328"/>
      <c r="F319" s="328"/>
      <c r="DF319" s="326"/>
      <c r="DI319" s="327"/>
    </row>
    <row r="320" spans="2:113" s="325" customFormat="1" ht="15.75" customHeight="1" hidden="1">
      <c r="B320" s="328"/>
      <c r="C320" s="328"/>
      <c r="D320" s="328"/>
      <c r="E320" s="328"/>
      <c r="F320" s="328"/>
      <c r="DF320" s="326"/>
      <c r="DI320" s="327"/>
    </row>
    <row r="321" spans="2:113" s="325" customFormat="1" ht="15.75" customHeight="1" hidden="1">
      <c r="B321" s="328"/>
      <c r="C321" s="328"/>
      <c r="D321" s="328"/>
      <c r="E321" s="328"/>
      <c r="F321" s="328"/>
      <c r="DF321" s="326"/>
      <c r="DI321" s="327"/>
    </row>
    <row r="322" spans="2:113" s="325" customFormat="1" ht="15.75" customHeight="1" hidden="1">
      <c r="B322" s="328"/>
      <c r="C322" s="328"/>
      <c r="D322" s="328"/>
      <c r="E322" s="328"/>
      <c r="F322" s="328"/>
      <c r="DF322" s="326"/>
      <c r="DI322" s="327"/>
    </row>
    <row r="323" spans="2:113" s="325" customFormat="1" ht="15.75" customHeight="1" hidden="1">
      <c r="B323" s="328"/>
      <c r="C323" s="328"/>
      <c r="D323" s="328"/>
      <c r="E323" s="328"/>
      <c r="F323" s="328"/>
      <c r="DF323" s="326"/>
      <c r="DI323" s="327"/>
    </row>
    <row r="324" spans="2:113" s="325" customFormat="1" ht="15.75" customHeight="1" hidden="1">
      <c r="B324" s="328"/>
      <c r="C324" s="328"/>
      <c r="D324" s="328"/>
      <c r="E324" s="328"/>
      <c r="F324" s="328"/>
      <c r="DF324" s="326"/>
      <c r="DI324" s="327"/>
    </row>
    <row r="325" spans="2:113" s="325" customFormat="1" ht="15.75" customHeight="1" hidden="1">
      <c r="B325" s="328"/>
      <c r="C325" s="328"/>
      <c r="D325" s="328"/>
      <c r="E325" s="328"/>
      <c r="F325" s="328"/>
      <c r="DF325" s="326"/>
      <c r="DI325" s="327"/>
    </row>
    <row r="326" spans="2:113" s="325" customFormat="1" ht="15.75" customHeight="1" hidden="1">
      <c r="B326" s="328"/>
      <c r="C326" s="328"/>
      <c r="D326" s="328"/>
      <c r="E326" s="328"/>
      <c r="F326" s="328"/>
      <c r="DF326" s="326"/>
      <c r="DI326" s="327"/>
    </row>
    <row r="327" spans="2:113" s="325" customFormat="1" ht="15.75" customHeight="1" hidden="1">
      <c r="B327" s="328"/>
      <c r="C327" s="328"/>
      <c r="D327" s="328"/>
      <c r="E327" s="328"/>
      <c r="F327" s="328"/>
      <c r="DF327" s="326"/>
      <c r="DI327" s="327"/>
    </row>
    <row r="328" spans="2:113" s="325" customFormat="1" ht="15.75" customHeight="1" hidden="1">
      <c r="B328" s="328"/>
      <c r="C328" s="328"/>
      <c r="D328" s="328"/>
      <c r="E328" s="328"/>
      <c r="F328" s="328"/>
      <c r="DF328" s="326"/>
      <c r="DI328" s="327"/>
    </row>
    <row r="329" spans="2:113" s="325" customFormat="1" ht="15.75" customHeight="1" hidden="1">
      <c r="B329" s="328"/>
      <c r="C329" s="328"/>
      <c r="D329" s="328"/>
      <c r="E329" s="328"/>
      <c r="F329" s="328"/>
      <c r="DF329" s="326"/>
      <c r="DI329" s="327"/>
    </row>
    <row r="330" spans="2:113" s="325" customFormat="1" ht="15.75" customHeight="1" hidden="1">
      <c r="B330" s="328"/>
      <c r="C330" s="328"/>
      <c r="D330" s="328"/>
      <c r="E330" s="328"/>
      <c r="F330" s="328"/>
      <c r="DF330" s="326"/>
      <c r="DI330" s="327"/>
    </row>
    <row r="331" spans="2:113" s="325" customFormat="1" ht="15.75" customHeight="1" hidden="1">
      <c r="B331" s="328"/>
      <c r="C331" s="328"/>
      <c r="D331" s="328"/>
      <c r="E331" s="328"/>
      <c r="F331" s="328"/>
      <c r="DF331" s="326"/>
      <c r="DI331" s="327"/>
    </row>
    <row r="332" spans="2:113" s="325" customFormat="1" ht="15.75" customHeight="1" hidden="1">
      <c r="B332" s="328"/>
      <c r="C332" s="328"/>
      <c r="D332" s="328"/>
      <c r="E332" s="328"/>
      <c r="F332" s="328"/>
      <c r="DF332" s="326"/>
      <c r="DI332" s="327"/>
    </row>
    <row r="333" spans="2:113" s="325" customFormat="1" ht="15.75" customHeight="1" hidden="1">
      <c r="B333" s="328"/>
      <c r="C333" s="328"/>
      <c r="D333" s="328"/>
      <c r="E333" s="328"/>
      <c r="F333" s="328"/>
      <c r="DF333" s="326"/>
      <c r="DI333" s="327"/>
    </row>
    <row r="334" spans="2:113" s="325" customFormat="1" ht="15.75" customHeight="1" hidden="1">
      <c r="B334" s="328"/>
      <c r="C334" s="328"/>
      <c r="D334" s="328"/>
      <c r="E334" s="328"/>
      <c r="F334" s="328"/>
      <c r="DF334" s="326"/>
      <c r="DI334" s="327"/>
    </row>
    <row r="335" spans="2:113" s="325" customFormat="1" ht="15.75" customHeight="1" hidden="1">
      <c r="B335" s="328"/>
      <c r="C335" s="328"/>
      <c r="D335" s="328"/>
      <c r="E335" s="328"/>
      <c r="F335" s="328"/>
      <c r="DF335" s="326"/>
      <c r="DI335" s="327"/>
    </row>
    <row r="336" spans="2:113" s="325" customFormat="1" ht="15.75" customHeight="1" hidden="1">
      <c r="B336" s="328"/>
      <c r="C336" s="328"/>
      <c r="D336" s="328"/>
      <c r="E336" s="328"/>
      <c r="F336" s="328"/>
      <c r="DF336" s="326"/>
      <c r="DI336" s="327"/>
    </row>
    <row r="337" spans="2:113" s="325" customFormat="1" ht="15.75" customHeight="1" hidden="1">
      <c r="B337" s="328"/>
      <c r="C337" s="328"/>
      <c r="D337" s="328"/>
      <c r="E337" s="328"/>
      <c r="F337" s="328"/>
      <c r="DF337" s="326"/>
      <c r="DI337" s="327"/>
    </row>
    <row r="338" spans="2:113" s="325" customFormat="1" ht="15.75" customHeight="1" hidden="1">
      <c r="B338" s="328"/>
      <c r="C338" s="328"/>
      <c r="D338" s="328"/>
      <c r="E338" s="328"/>
      <c r="F338" s="328"/>
      <c r="DF338" s="326"/>
      <c r="DI338" s="327"/>
    </row>
    <row r="339" spans="2:113" s="325" customFormat="1" ht="15.75" customHeight="1" hidden="1">
      <c r="B339" s="328"/>
      <c r="C339" s="328"/>
      <c r="D339" s="328"/>
      <c r="E339" s="328"/>
      <c r="F339" s="328"/>
      <c r="DF339" s="326"/>
      <c r="DI339" s="327"/>
    </row>
    <row r="340" spans="2:113" s="325" customFormat="1" ht="15.75" customHeight="1" hidden="1">
      <c r="B340" s="328"/>
      <c r="C340" s="328"/>
      <c r="D340" s="328"/>
      <c r="E340" s="328"/>
      <c r="F340" s="328"/>
      <c r="DF340" s="326"/>
      <c r="DI340" s="327"/>
    </row>
    <row r="341" spans="2:113" s="325" customFormat="1" ht="15.75" customHeight="1" hidden="1">
      <c r="B341" s="328"/>
      <c r="C341" s="328"/>
      <c r="D341" s="328"/>
      <c r="E341" s="328"/>
      <c r="F341" s="328"/>
      <c r="DF341" s="326"/>
      <c r="DI341" s="327"/>
    </row>
    <row r="342" spans="2:113" s="325" customFormat="1" ht="15.75" customHeight="1" hidden="1">
      <c r="B342" s="328"/>
      <c r="C342" s="328"/>
      <c r="D342" s="328"/>
      <c r="E342" s="328"/>
      <c r="F342" s="328"/>
      <c r="DF342" s="326"/>
      <c r="DI342" s="327"/>
    </row>
    <row r="343" spans="2:113" s="325" customFormat="1" ht="15.75" customHeight="1" hidden="1">
      <c r="B343" s="328"/>
      <c r="C343" s="328"/>
      <c r="D343" s="328"/>
      <c r="E343" s="328"/>
      <c r="F343" s="328"/>
      <c r="DF343" s="326"/>
      <c r="DI343" s="327"/>
    </row>
    <row r="344" spans="2:113" s="325" customFormat="1" ht="15.75" customHeight="1" hidden="1">
      <c r="B344" s="328"/>
      <c r="C344" s="328"/>
      <c r="D344" s="328"/>
      <c r="E344" s="328"/>
      <c r="F344" s="328"/>
      <c r="DF344" s="326"/>
      <c r="DI344" s="327"/>
    </row>
    <row r="345" spans="2:113" s="325" customFormat="1" ht="15.75" customHeight="1" hidden="1">
      <c r="B345" s="328"/>
      <c r="C345" s="328"/>
      <c r="D345" s="328"/>
      <c r="E345" s="328"/>
      <c r="F345" s="328"/>
      <c r="DF345" s="326"/>
      <c r="DI345" s="327"/>
    </row>
    <row r="346" spans="2:113" s="325" customFormat="1" ht="15.75" customHeight="1" hidden="1">
      <c r="B346" s="328"/>
      <c r="C346" s="328"/>
      <c r="D346" s="328"/>
      <c r="E346" s="328"/>
      <c r="F346" s="328"/>
      <c r="DF346" s="326"/>
      <c r="DI346" s="327"/>
    </row>
    <row r="347" spans="2:113" s="325" customFormat="1" ht="15.75" customHeight="1" hidden="1">
      <c r="B347" s="328"/>
      <c r="C347" s="328"/>
      <c r="D347" s="328"/>
      <c r="E347" s="328"/>
      <c r="F347" s="328"/>
      <c r="DF347" s="326"/>
      <c r="DI347" s="327"/>
    </row>
    <row r="348" spans="2:113" s="325" customFormat="1" ht="15.75" customHeight="1" hidden="1">
      <c r="B348" s="328"/>
      <c r="C348" s="328"/>
      <c r="D348" s="328"/>
      <c r="E348" s="328"/>
      <c r="F348" s="328"/>
      <c r="DF348" s="326"/>
      <c r="DI348" s="327"/>
    </row>
    <row r="349" spans="2:113" s="325" customFormat="1" ht="15.75" customHeight="1" hidden="1">
      <c r="B349" s="328"/>
      <c r="C349" s="328"/>
      <c r="D349" s="328"/>
      <c r="E349" s="328"/>
      <c r="F349" s="328"/>
      <c r="DF349" s="326"/>
      <c r="DI349" s="327"/>
    </row>
    <row r="350" spans="2:113" s="325" customFormat="1" ht="15.75" customHeight="1" hidden="1">
      <c r="B350" s="328"/>
      <c r="C350" s="328"/>
      <c r="D350" s="328"/>
      <c r="E350" s="328"/>
      <c r="F350" s="328"/>
      <c r="DF350" s="326"/>
      <c r="DI350" s="327"/>
    </row>
    <row r="351" spans="2:113" s="325" customFormat="1" ht="15.75" customHeight="1" hidden="1">
      <c r="B351" s="328"/>
      <c r="C351" s="328"/>
      <c r="D351" s="328"/>
      <c r="E351" s="328"/>
      <c r="F351" s="328"/>
      <c r="DF351" s="326"/>
      <c r="DI351" s="327"/>
    </row>
    <row r="352" spans="2:113" s="325" customFormat="1" ht="15.75" customHeight="1" hidden="1">
      <c r="B352" s="328"/>
      <c r="C352" s="328"/>
      <c r="D352" s="328"/>
      <c r="E352" s="328"/>
      <c r="F352" s="328"/>
      <c r="DF352" s="326"/>
      <c r="DI352" s="327"/>
    </row>
    <row r="353" spans="2:113" s="325" customFormat="1" ht="15.75" customHeight="1" hidden="1">
      <c r="B353" s="328"/>
      <c r="C353" s="328"/>
      <c r="D353" s="328"/>
      <c r="E353" s="328"/>
      <c r="F353" s="328"/>
      <c r="DF353" s="326"/>
      <c r="DI353" s="327"/>
    </row>
    <row r="354" spans="2:113" s="325" customFormat="1" ht="15.75" customHeight="1" hidden="1">
      <c r="B354" s="328"/>
      <c r="C354" s="328"/>
      <c r="D354" s="328"/>
      <c r="E354" s="328"/>
      <c r="F354" s="328"/>
      <c r="DF354" s="326"/>
      <c r="DI354" s="327"/>
    </row>
    <row r="355" spans="2:113" s="325" customFormat="1" ht="15.75" customHeight="1" hidden="1">
      <c r="B355" s="328"/>
      <c r="C355" s="328"/>
      <c r="D355" s="328"/>
      <c r="E355" s="328"/>
      <c r="F355" s="328"/>
      <c r="DF355" s="326"/>
      <c r="DI355" s="327"/>
    </row>
    <row r="356" spans="2:113" s="325" customFormat="1" ht="15.75" customHeight="1" hidden="1">
      <c r="B356" s="328"/>
      <c r="C356" s="328"/>
      <c r="D356" s="328"/>
      <c r="E356" s="328"/>
      <c r="F356" s="328"/>
      <c r="DF356" s="326"/>
      <c r="DI356" s="327"/>
    </row>
    <row r="357" spans="2:113" s="325" customFormat="1" ht="15.75" customHeight="1" hidden="1">
      <c r="B357" s="328"/>
      <c r="C357" s="328"/>
      <c r="D357" s="328"/>
      <c r="E357" s="328"/>
      <c r="F357" s="328"/>
      <c r="DF357" s="326"/>
      <c r="DI357" s="327"/>
    </row>
    <row r="358" spans="2:113" s="325" customFormat="1" ht="15.75" customHeight="1" hidden="1">
      <c r="B358" s="328"/>
      <c r="C358" s="328"/>
      <c r="D358" s="328"/>
      <c r="E358" s="328"/>
      <c r="F358" s="328"/>
      <c r="DF358" s="326"/>
      <c r="DI358" s="327"/>
    </row>
    <row r="359" spans="2:113" s="325" customFormat="1" ht="15.75" customHeight="1" hidden="1">
      <c r="B359" s="328"/>
      <c r="C359" s="328"/>
      <c r="D359" s="328"/>
      <c r="E359" s="328"/>
      <c r="F359" s="328"/>
      <c r="DF359" s="326"/>
      <c r="DI359" s="327"/>
    </row>
    <row r="360" spans="2:113" s="325" customFormat="1" ht="15.75" customHeight="1" hidden="1">
      <c r="B360" s="328"/>
      <c r="C360" s="328"/>
      <c r="D360" s="328"/>
      <c r="E360" s="328"/>
      <c r="F360" s="328"/>
      <c r="DF360" s="326"/>
      <c r="DI360" s="327"/>
    </row>
    <row r="361" spans="2:113" s="325" customFormat="1" ht="15.75" customHeight="1" hidden="1">
      <c r="B361" s="328"/>
      <c r="C361" s="328"/>
      <c r="D361" s="328"/>
      <c r="E361" s="328"/>
      <c r="F361" s="328"/>
      <c r="DF361" s="326"/>
      <c r="DI361" s="327"/>
    </row>
    <row r="362" spans="2:113" s="325" customFormat="1" ht="15.75" customHeight="1" hidden="1">
      <c r="B362" s="328"/>
      <c r="C362" s="328"/>
      <c r="D362" s="328"/>
      <c r="E362" s="328"/>
      <c r="F362" s="328"/>
      <c r="DF362" s="326"/>
      <c r="DI362" s="327"/>
    </row>
    <row r="363" spans="2:113" s="325" customFormat="1" ht="15.75" customHeight="1" hidden="1">
      <c r="B363" s="328"/>
      <c r="C363" s="328"/>
      <c r="D363" s="328"/>
      <c r="E363" s="328"/>
      <c r="F363" s="328"/>
      <c r="DF363" s="326"/>
      <c r="DI363" s="327"/>
    </row>
    <row r="364" spans="2:113" s="325" customFormat="1" ht="15.75" customHeight="1" hidden="1">
      <c r="B364" s="328"/>
      <c r="C364" s="328"/>
      <c r="D364" s="328"/>
      <c r="E364" s="328"/>
      <c r="F364" s="328"/>
      <c r="DF364" s="326"/>
      <c r="DI364" s="327"/>
    </row>
    <row r="365" spans="2:113" s="325" customFormat="1" ht="15.75" customHeight="1" hidden="1">
      <c r="B365" s="328"/>
      <c r="C365" s="328"/>
      <c r="D365" s="328"/>
      <c r="E365" s="328"/>
      <c r="F365" s="328"/>
      <c r="DF365" s="326"/>
      <c r="DI365" s="327"/>
    </row>
    <row r="366" spans="2:113" s="325" customFormat="1" ht="15.75" customHeight="1" hidden="1">
      <c r="B366" s="328"/>
      <c r="C366" s="328"/>
      <c r="D366" s="328"/>
      <c r="E366" s="328"/>
      <c r="F366" s="328"/>
      <c r="DF366" s="326"/>
      <c r="DI366" s="327"/>
    </row>
    <row r="367" spans="2:113" s="325" customFormat="1" ht="15.75" customHeight="1" hidden="1">
      <c r="B367" s="328"/>
      <c r="C367" s="328"/>
      <c r="D367" s="328"/>
      <c r="E367" s="328"/>
      <c r="F367" s="328"/>
      <c r="DF367" s="326"/>
      <c r="DI367" s="327"/>
    </row>
    <row r="368" spans="2:113" s="325" customFormat="1" ht="15.75" customHeight="1" hidden="1">
      <c r="B368" s="328"/>
      <c r="C368" s="328"/>
      <c r="D368" s="328"/>
      <c r="E368" s="328"/>
      <c r="F368" s="328"/>
      <c r="DF368" s="326"/>
      <c r="DI368" s="327"/>
    </row>
    <row r="369" spans="2:113" s="325" customFormat="1" ht="15.75" customHeight="1" hidden="1">
      <c r="B369" s="328"/>
      <c r="C369" s="328"/>
      <c r="D369" s="328"/>
      <c r="E369" s="328"/>
      <c r="F369" s="328"/>
      <c r="DF369" s="326"/>
      <c r="DI369" s="327"/>
    </row>
    <row r="370" spans="2:113" s="325" customFormat="1" ht="15.75" customHeight="1" hidden="1">
      <c r="B370" s="328"/>
      <c r="C370" s="328"/>
      <c r="D370" s="328"/>
      <c r="E370" s="328"/>
      <c r="F370" s="328"/>
      <c r="DF370" s="326"/>
      <c r="DI370" s="327"/>
    </row>
    <row r="371" spans="2:113" s="325" customFormat="1" ht="15.75" customHeight="1" hidden="1">
      <c r="B371" s="328"/>
      <c r="C371" s="328"/>
      <c r="D371" s="328"/>
      <c r="E371" s="328"/>
      <c r="F371" s="328"/>
      <c r="DF371" s="326"/>
      <c r="DI371" s="327"/>
    </row>
    <row r="372" spans="2:113" s="325" customFormat="1" ht="15.75" customHeight="1" hidden="1">
      <c r="B372" s="328"/>
      <c r="C372" s="328"/>
      <c r="D372" s="328"/>
      <c r="E372" s="328"/>
      <c r="F372" s="328"/>
      <c r="DF372" s="326"/>
      <c r="DI372" s="327"/>
    </row>
    <row r="373" spans="2:113" s="325" customFormat="1" ht="15.75" customHeight="1" hidden="1">
      <c r="B373" s="328"/>
      <c r="C373" s="328"/>
      <c r="D373" s="328"/>
      <c r="E373" s="328"/>
      <c r="F373" s="328"/>
      <c r="DF373" s="326"/>
      <c r="DI373" s="327"/>
    </row>
    <row r="374" spans="2:113" s="325" customFormat="1" ht="15.75" customHeight="1" hidden="1">
      <c r="B374" s="328"/>
      <c r="C374" s="328"/>
      <c r="D374" s="328"/>
      <c r="E374" s="328"/>
      <c r="F374" s="328"/>
      <c r="DF374" s="326"/>
      <c r="DI374" s="327"/>
    </row>
    <row r="375" spans="2:113" s="325" customFormat="1" ht="15.75" customHeight="1" hidden="1">
      <c r="B375" s="328"/>
      <c r="C375" s="328"/>
      <c r="D375" s="328"/>
      <c r="E375" s="328"/>
      <c r="F375" s="328"/>
      <c r="DF375" s="326"/>
      <c r="DI375" s="327"/>
    </row>
    <row r="376" spans="2:113" s="325" customFormat="1" ht="15.75" customHeight="1" hidden="1">
      <c r="B376" s="328"/>
      <c r="C376" s="328"/>
      <c r="D376" s="328"/>
      <c r="E376" s="328"/>
      <c r="F376" s="328"/>
      <c r="DF376" s="326"/>
      <c r="DI376" s="327"/>
    </row>
    <row r="377" spans="2:113" s="325" customFormat="1" ht="15.75" customHeight="1" hidden="1">
      <c r="B377" s="328"/>
      <c r="C377" s="328"/>
      <c r="D377" s="328"/>
      <c r="E377" s="328"/>
      <c r="F377" s="328"/>
      <c r="DF377" s="326"/>
      <c r="DI377" s="327"/>
    </row>
    <row r="378" spans="2:113" s="325" customFormat="1" ht="15.75" customHeight="1" hidden="1">
      <c r="B378" s="328"/>
      <c r="C378" s="328"/>
      <c r="D378" s="328"/>
      <c r="E378" s="328"/>
      <c r="F378" s="328"/>
      <c r="DF378" s="326"/>
      <c r="DI378" s="327"/>
    </row>
    <row r="379" spans="2:113" s="325" customFormat="1" ht="15.75" customHeight="1" hidden="1">
      <c r="B379" s="328"/>
      <c r="C379" s="328"/>
      <c r="D379" s="328"/>
      <c r="E379" s="328"/>
      <c r="F379" s="328"/>
      <c r="DF379" s="326"/>
      <c r="DI379" s="327"/>
    </row>
    <row r="380" spans="2:113" s="325" customFormat="1" ht="15.75" customHeight="1" hidden="1">
      <c r="B380" s="328"/>
      <c r="C380" s="328"/>
      <c r="D380" s="328"/>
      <c r="E380" s="328"/>
      <c r="F380" s="328"/>
      <c r="DF380" s="326"/>
      <c r="DI380" s="327"/>
    </row>
    <row r="381" spans="2:113" s="325" customFormat="1" ht="15.75" customHeight="1" hidden="1">
      <c r="B381" s="328"/>
      <c r="C381" s="328"/>
      <c r="D381" s="328"/>
      <c r="E381" s="328"/>
      <c r="F381" s="328"/>
      <c r="DF381" s="326"/>
      <c r="DI381" s="327"/>
    </row>
    <row r="382" spans="2:113" s="325" customFormat="1" ht="15.75" customHeight="1" hidden="1">
      <c r="B382" s="328"/>
      <c r="C382" s="328"/>
      <c r="D382" s="328"/>
      <c r="E382" s="328"/>
      <c r="F382" s="328"/>
      <c r="DF382" s="326"/>
      <c r="DI382" s="327"/>
    </row>
    <row r="383" spans="2:113" s="325" customFormat="1" ht="15.75" customHeight="1" hidden="1">
      <c r="B383" s="328"/>
      <c r="C383" s="328"/>
      <c r="D383" s="328"/>
      <c r="E383" s="328"/>
      <c r="F383" s="328"/>
      <c r="DF383" s="326"/>
      <c r="DI383" s="327"/>
    </row>
    <row r="384" spans="2:113" s="325" customFormat="1" ht="15.75" customHeight="1" hidden="1">
      <c r="B384" s="328"/>
      <c r="C384" s="328"/>
      <c r="D384" s="328"/>
      <c r="E384" s="328"/>
      <c r="F384" s="328"/>
      <c r="DF384" s="326"/>
      <c r="DI384" s="327"/>
    </row>
    <row r="385" spans="2:113" s="325" customFormat="1" ht="15.75" customHeight="1" hidden="1">
      <c r="B385" s="328"/>
      <c r="C385" s="328"/>
      <c r="D385" s="328"/>
      <c r="E385" s="328"/>
      <c r="F385" s="328"/>
      <c r="DF385" s="326"/>
      <c r="DI385" s="327"/>
    </row>
    <row r="386" spans="2:113" s="325" customFormat="1" ht="15.75" customHeight="1" hidden="1">
      <c r="B386" s="328"/>
      <c r="C386" s="328"/>
      <c r="D386" s="328"/>
      <c r="E386" s="328"/>
      <c r="F386" s="328"/>
      <c r="DF386" s="326"/>
      <c r="DI386" s="327"/>
    </row>
    <row r="387" spans="2:113" s="325" customFormat="1" ht="15.75" customHeight="1" hidden="1">
      <c r="B387" s="328"/>
      <c r="C387" s="328"/>
      <c r="D387" s="328"/>
      <c r="E387" s="328"/>
      <c r="F387" s="328"/>
      <c r="DF387" s="326"/>
      <c r="DI387" s="327"/>
    </row>
    <row r="388" spans="2:113" s="325" customFormat="1" ht="15.75" customHeight="1" hidden="1">
      <c r="B388" s="328"/>
      <c r="C388" s="328"/>
      <c r="D388" s="328"/>
      <c r="E388" s="328"/>
      <c r="F388" s="328"/>
      <c r="DF388" s="326"/>
      <c r="DI388" s="327"/>
    </row>
    <row r="389" spans="2:113" s="325" customFormat="1" ht="15.75" customHeight="1" hidden="1">
      <c r="B389" s="328"/>
      <c r="C389" s="328"/>
      <c r="D389" s="328"/>
      <c r="E389" s="328"/>
      <c r="F389" s="328"/>
      <c r="DF389" s="326"/>
      <c r="DI389" s="327"/>
    </row>
    <row r="390" spans="2:113" s="325" customFormat="1" ht="15.75" customHeight="1" hidden="1">
      <c r="B390" s="328"/>
      <c r="C390" s="328"/>
      <c r="D390" s="328"/>
      <c r="E390" s="328"/>
      <c r="F390" s="328"/>
      <c r="DF390" s="326"/>
      <c r="DI390" s="327"/>
    </row>
    <row r="391" spans="2:113" s="325" customFormat="1" ht="15.75" customHeight="1" hidden="1">
      <c r="B391" s="328"/>
      <c r="C391" s="328"/>
      <c r="D391" s="328"/>
      <c r="E391" s="328"/>
      <c r="F391" s="328"/>
      <c r="DF391" s="326"/>
      <c r="DI391" s="327"/>
    </row>
    <row r="392" spans="2:113" s="325" customFormat="1" ht="15.75" customHeight="1" hidden="1">
      <c r="B392" s="328"/>
      <c r="C392" s="328"/>
      <c r="D392" s="328"/>
      <c r="E392" s="328"/>
      <c r="F392" s="328"/>
      <c r="DF392" s="326"/>
      <c r="DI392" s="327"/>
    </row>
    <row r="393" spans="2:113" s="325" customFormat="1" ht="15.75" customHeight="1" hidden="1">
      <c r="B393" s="328"/>
      <c r="C393" s="328"/>
      <c r="D393" s="328"/>
      <c r="E393" s="328"/>
      <c r="F393" s="328"/>
      <c r="DF393" s="326"/>
      <c r="DI393" s="327"/>
    </row>
    <row r="394" spans="2:113" s="325" customFormat="1" ht="15.75" customHeight="1" hidden="1">
      <c r="B394" s="328"/>
      <c r="C394" s="328"/>
      <c r="D394" s="328"/>
      <c r="E394" s="328"/>
      <c r="F394" s="328"/>
      <c r="DF394" s="326"/>
      <c r="DI394" s="327"/>
    </row>
    <row r="395" spans="2:113" s="325" customFormat="1" ht="15.75" customHeight="1" hidden="1">
      <c r="B395" s="328"/>
      <c r="C395" s="328"/>
      <c r="D395" s="328"/>
      <c r="E395" s="328"/>
      <c r="F395" s="328"/>
      <c r="DF395" s="326"/>
      <c r="DI395" s="327"/>
    </row>
    <row r="396" spans="2:113" s="325" customFormat="1" ht="15.75" customHeight="1" hidden="1">
      <c r="B396" s="328"/>
      <c r="C396" s="328"/>
      <c r="D396" s="328"/>
      <c r="E396" s="328"/>
      <c r="F396" s="328"/>
      <c r="DF396" s="326"/>
      <c r="DI396" s="327"/>
    </row>
    <row r="397" spans="2:113" s="325" customFormat="1" ht="15.75" customHeight="1" hidden="1">
      <c r="B397" s="328"/>
      <c r="C397" s="328"/>
      <c r="D397" s="328"/>
      <c r="E397" s="328"/>
      <c r="F397" s="328"/>
      <c r="DF397" s="326"/>
      <c r="DI397" s="327"/>
    </row>
    <row r="398" spans="2:113" s="325" customFormat="1" ht="15.75" customHeight="1" hidden="1">
      <c r="B398" s="328"/>
      <c r="C398" s="328"/>
      <c r="D398" s="328"/>
      <c r="E398" s="328"/>
      <c r="F398" s="328"/>
      <c r="DF398" s="326"/>
      <c r="DI398" s="327"/>
    </row>
    <row r="399" spans="2:113" s="325" customFormat="1" ht="15.75" customHeight="1" hidden="1">
      <c r="B399" s="328"/>
      <c r="C399" s="328"/>
      <c r="D399" s="328"/>
      <c r="E399" s="328"/>
      <c r="F399" s="328"/>
      <c r="DF399" s="326"/>
      <c r="DI399" s="327"/>
    </row>
    <row r="400" spans="2:113" s="325" customFormat="1" ht="15.75" customHeight="1" hidden="1">
      <c r="B400" s="328"/>
      <c r="C400" s="328"/>
      <c r="D400" s="328"/>
      <c r="E400" s="328"/>
      <c r="F400" s="328"/>
      <c r="DF400" s="326"/>
      <c r="DI400" s="327"/>
    </row>
    <row r="401" spans="2:113" s="325" customFormat="1" ht="15.75" customHeight="1" hidden="1">
      <c r="B401" s="328"/>
      <c r="C401" s="328"/>
      <c r="D401" s="328"/>
      <c r="E401" s="328"/>
      <c r="F401" s="328"/>
      <c r="DF401" s="326"/>
      <c r="DI401" s="327"/>
    </row>
    <row r="402" spans="2:113" s="325" customFormat="1" ht="15.75" customHeight="1" hidden="1">
      <c r="B402" s="328"/>
      <c r="C402" s="328"/>
      <c r="D402" s="328"/>
      <c r="E402" s="328"/>
      <c r="F402" s="328"/>
      <c r="DF402" s="326"/>
      <c r="DI402" s="327"/>
    </row>
    <row r="403" spans="2:113" s="325" customFormat="1" ht="15.75" customHeight="1" hidden="1">
      <c r="B403" s="328"/>
      <c r="C403" s="328"/>
      <c r="D403" s="328"/>
      <c r="E403" s="328"/>
      <c r="F403" s="328"/>
      <c r="DF403" s="326"/>
      <c r="DI403" s="327"/>
    </row>
    <row r="404" spans="2:113" s="325" customFormat="1" ht="15.75" customHeight="1" hidden="1">
      <c r="B404" s="328"/>
      <c r="C404" s="328"/>
      <c r="D404" s="328"/>
      <c r="E404" s="328"/>
      <c r="F404" s="328"/>
      <c r="DF404" s="326"/>
      <c r="DI404" s="327"/>
    </row>
    <row r="405" spans="2:113" s="325" customFormat="1" ht="15.75" customHeight="1" hidden="1">
      <c r="B405" s="328"/>
      <c r="C405" s="328"/>
      <c r="D405" s="328"/>
      <c r="E405" s="328"/>
      <c r="F405" s="328"/>
      <c r="DF405" s="326"/>
      <c r="DI405" s="327"/>
    </row>
    <row r="406" spans="2:113" s="325" customFormat="1" ht="15.75" customHeight="1" hidden="1">
      <c r="B406" s="328"/>
      <c r="C406" s="328"/>
      <c r="D406" s="328"/>
      <c r="E406" s="328"/>
      <c r="F406" s="328"/>
      <c r="DF406" s="326"/>
      <c r="DI406" s="327"/>
    </row>
    <row r="407" spans="2:113" s="325" customFormat="1" ht="15.75" customHeight="1" hidden="1">
      <c r="B407" s="328"/>
      <c r="C407" s="328"/>
      <c r="D407" s="328"/>
      <c r="E407" s="328"/>
      <c r="F407" s="328"/>
      <c r="DF407" s="326"/>
      <c r="DI407" s="327"/>
    </row>
    <row r="408" spans="2:113" s="325" customFormat="1" ht="15.75" customHeight="1" hidden="1">
      <c r="B408" s="328"/>
      <c r="C408" s="328"/>
      <c r="D408" s="328"/>
      <c r="E408" s="328"/>
      <c r="F408" s="328"/>
      <c r="DF408" s="326"/>
      <c r="DI408" s="327"/>
    </row>
    <row r="409" spans="2:113" s="325" customFormat="1" ht="15.75" customHeight="1" hidden="1">
      <c r="B409" s="328"/>
      <c r="C409" s="328"/>
      <c r="D409" s="328"/>
      <c r="E409" s="328"/>
      <c r="F409" s="328"/>
      <c r="DF409" s="326"/>
      <c r="DI409" s="327"/>
    </row>
    <row r="410" spans="2:113" s="325" customFormat="1" ht="15.75" customHeight="1" hidden="1">
      <c r="B410" s="328"/>
      <c r="C410" s="328"/>
      <c r="D410" s="328"/>
      <c r="E410" s="328"/>
      <c r="F410" s="328"/>
      <c r="DF410" s="326"/>
      <c r="DI410" s="327"/>
    </row>
    <row r="411" spans="2:113" s="325" customFormat="1" ht="15.75" customHeight="1" hidden="1">
      <c r="B411" s="328"/>
      <c r="C411" s="328"/>
      <c r="D411" s="328"/>
      <c r="E411" s="328"/>
      <c r="F411" s="328"/>
      <c r="DF411" s="326"/>
      <c r="DI411" s="327"/>
    </row>
    <row r="412" spans="2:113" s="325" customFormat="1" ht="15.75" customHeight="1" hidden="1">
      <c r="B412" s="328"/>
      <c r="C412" s="328"/>
      <c r="D412" s="328"/>
      <c r="E412" s="328"/>
      <c r="F412" s="328"/>
      <c r="DF412" s="326"/>
      <c r="DI412" s="327"/>
    </row>
    <row r="413" spans="2:113" s="325" customFormat="1" ht="15.75" customHeight="1" hidden="1">
      <c r="B413" s="328"/>
      <c r="C413" s="328"/>
      <c r="D413" s="328"/>
      <c r="E413" s="328"/>
      <c r="F413" s="328"/>
      <c r="DF413" s="326"/>
      <c r="DI413" s="327"/>
    </row>
    <row r="414" spans="2:113" s="325" customFormat="1" ht="15.75" customHeight="1" hidden="1">
      <c r="B414" s="328"/>
      <c r="C414" s="328"/>
      <c r="D414" s="328"/>
      <c r="E414" s="328"/>
      <c r="F414" s="328"/>
      <c r="DF414" s="326"/>
      <c r="DI414" s="327"/>
    </row>
    <row r="415" spans="2:113" s="325" customFormat="1" ht="15.75" customHeight="1" hidden="1">
      <c r="B415" s="328"/>
      <c r="C415" s="328"/>
      <c r="D415" s="328"/>
      <c r="E415" s="328"/>
      <c r="F415" s="328"/>
      <c r="DF415" s="326"/>
      <c r="DI415" s="327"/>
    </row>
    <row r="416" spans="2:113" s="325" customFormat="1" ht="15.75" customHeight="1" hidden="1">
      <c r="B416" s="328"/>
      <c r="C416" s="328"/>
      <c r="D416" s="328"/>
      <c r="E416" s="328"/>
      <c r="F416" s="328"/>
      <c r="DF416" s="326"/>
      <c r="DI416" s="327"/>
    </row>
    <row r="417" spans="2:113" s="325" customFormat="1" ht="15.75" customHeight="1" hidden="1">
      <c r="B417" s="328"/>
      <c r="C417" s="328"/>
      <c r="D417" s="328"/>
      <c r="E417" s="328"/>
      <c r="F417" s="328"/>
      <c r="DF417" s="326"/>
      <c r="DI417" s="327"/>
    </row>
    <row r="418" spans="2:113" s="325" customFormat="1" ht="15.75" customHeight="1" hidden="1">
      <c r="B418" s="328"/>
      <c r="C418" s="328"/>
      <c r="D418" s="328"/>
      <c r="E418" s="328"/>
      <c r="F418" s="328"/>
      <c r="DF418" s="326"/>
      <c r="DI418" s="327"/>
    </row>
    <row r="419" spans="2:113" s="325" customFormat="1" ht="15.75" customHeight="1" hidden="1">
      <c r="B419" s="328"/>
      <c r="C419" s="328"/>
      <c r="D419" s="328"/>
      <c r="E419" s="328"/>
      <c r="F419" s="328"/>
      <c r="DF419" s="326"/>
      <c r="DI419" s="327"/>
    </row>
    <row r="420" spans="2:113" s="325" customFormat="1" ht="15.75" customHeight="1" hidden="1">
      <c r="B420" s="328"/>
      <c r="C420" s="328"/>
      <c r="D420" s="328"/>
      <c r="E420" s="328"/>
      <c r="F420" s="328"/>
      <c r="DF420" s="326"/>
      <c r="DI420" s="327"/>
    </row>
    <row r="421" spans="2:113" s="325" customFormat="1" ht="15.75" customHeight="1" hidden="1">
      <c r="B421" s="328"/>
      <c r="C421" s="328"/>
      <c r="D421" s="328"/>
      <c r="E421" s="328"/>
      <c r="F421" s="328"/>
      <c r="DF421" s="326"/>
      <c r="DI421" s="327"/>
    </row>
    <row r="422" spans="2:113" s="325" customFormat="1" ht="15.75" customHeight="1" hidden="1">
      <c r="B422" s="328"/>
      <c r="C422" s="328"/>
      <c r="D422" s="328"/>
      <c r="E422" s="328"/>
      <c r="F422" s="328"/>
      <c r="DF422" s="326"/>
      <c r="DI422" s="327"/>
    </row>
    <row r="423" spans="2:113" s="325" customFormat="1" ht="15.75" customHeight="1" hidden="1">
      <c r="B423" s="328"/>
      <c r="C423" s="328"/>
      <c r="D423" s="328"/>
      <c r="E423" s="328"/>
      <c r="F423" s="328"/>
      <c r="DF423" s="326"/>
      <c r="DI423" s="327"/>
    </row>
    <row r="424" spans="2:113" s="325" customFormat="1" ht="15.75" customHeight="1" hidden="1">
      <c r="B424" s="328"/>
      <c r="C424" s="328"/>
      <c r="D424" s="328"/>
      <c r="E424" s="328"/>
      <c r="F424" s="328"/>
      <c r="DF424" s="326"/>
      <c r="DI424" s="327"/>
    </row>
    <row r="425" spans="2:113" s="325" customFormat="1" ht="15.75" customHeight="1" hidden="1">
      <c r="B425" s="328"/>
      <c r="C425" s="328"/>
      <c r="D425" s="328"/>
      <c r="E425" s="328"/>
      <c r="F425" s="328"/>
      <c r="DF425" s="326"/>
      <c r="DI425" s="327"/>
    </row>
    <row r="426" spans="2:113" s="325" customFormat="1" ht="15.75" customHeight="1" hidden="1">
      <c r="B426" s="328"/>
      <c r="C426" s="328"/>
      <c r="D426" s="328"/>
      <c r="E426" s="328"/>
      <c r="F426" s="328"/>
      <c r="DF426" s="326"/>
      <c r="DI426" s="327"/>
    </row>
    <row r="427" spans="2:113" s="325" customFormat="1" ht="15.75" customHeight="1" hidden="1">
      <c r="B427" s="328"/>
      <c r="C427" s="328"/>
      <c r="D427" s="328"/>
      <c r="E427" s="328"/>
      <c r="F427" s="328"/>
      <c r="DF427" s="326"/>
      <c r="DI427" s="327"/>
    </row>
    <row r="428" spans="2:113" s="325" customFormat="1" ht="15.75" customHeight="1" hidden="1">
      <c r="B428" s="328"/>
      <c r="C428" s="328"/>
      <c r="D428" s="328"/>
      <c r="E428" s="328"/>
      <c r="F428" s="328"/>
      <c r="DF428" s="326"/>
      <c r="DI428" s="327"/>
    </row>
    <row r="429" spans="2:113" s="325" customFormat="1" ht="15.75" customHeight="1" hidden="1">
      <c r="B429" s="328"/>
      <c r="C429" s="328"/>
      <c r="D429" s="328"/>
      <c r="E429" s="328"/>
      <c r="F429" s="328"/>
      <c r="DF429" s="326"/>
      <c r="DI429" s="327"/>
    </row>
    <row r="430" spans="2:113" s="325" customFormat="1" ht="15.75" customHeight="1" hidden="1">
      <c r="B430" s="328"/>
      <c r="C430" s="328"/>
      <c r="D430" s="328"/>
      <c r="E430" s="328"/>
      <c r="F430" s="328"/>
      <c r="DF430" s="326"/>
      <c r="DI430" s="327"/>
    </row>
    <row r="431" spans="2:113" s="325" customFormat="1" ht="15.75" customHeight="1" hidden="1">
      <c r="B431" s="328"/>
      <c r="C431" s="328"/>
      <c r="D431" s="328"/>
      <c r="E431" s="328"/>
      <c r="F431" s="328"/>
      <c r="DF431" s="326"/>
      <c r="DI431" s="327"/>
    </row>
    <row r="432" spans="2:113" s="325" customFormat="1" ht="15.75" customHeight="1" hidden="1">
      <c r="B432" s="328"/>
      <c r="C432" s="328"/>
      <c r="D432" s="328"/>
      <c r="E432" s="328"/>
      <c r="F432" s="328"/>
      <c r="DF432" s="326"/>
      <c r="DI432" s="327"/>
    </row>
    <row r="433" spans="2:113" s="325" customFormat="1" ht="15.75" customHeight="1" hidden="1">
      <c r="B433" s="328"/>
      <c r="C433" s="328"/>
      <c r="D433" s="328"/>
      <c r="E433" s="328"/>
      <c r="F433" s="328"/>
      <c r="DF433" s="326"/>
      <c r="DI433" s="327"/>
    </row>
    <row r="434" spans="2:113" s="325" customFormat="1" ht="15.75" customHeight="1" hidden="1">
      <c r="B434" s="328"/>
      <c r="C434" s="328"/>
      <c r="D434" s="328"/>
      <c r="E434" s="328"/>
      <c r="F434" s="328"/>
      <c r="DF434" s="326"/>
      <c r="DI434" s="327"/>
    </row>
    <row r="435" spans="2:113" s="325" customFormat="1" ht="15.75" customHeight="1" hidden="1">
      <c r="B435" s="328"/>
      <c r="C435" s="328"/>
      <c r="D435" s="328"/>
      <c r="E435" s="328"/>
      <c r="F435" s="328"/>
      <c r="DF435" s="326"/>
      <c r="DI435" s="327"/>
    </row>
    <row r="436" spans="2:113" s="325" customFormat="1" ht="15.75" customHeight="1" hidden="1">
      <c r="B436" s="328"/>
      <c r="C436" s="328"/>
      <c r="D436" s="328"/>
      <c r="E436" s="328"/>
      <c r="F436" s="328"/>
      <c r="DF436" s="326"/>
      <c r="DI436" s="327"/>
    </row>
    <row r="437" spans="2:113" s="325" customFormat="1" ht="15.75" customHeight="1" hidden="1">
      <c r="B437" s="328"/>
      <c r="C437" s="328"/>
      <c r="D437" s="328"/>
      <c r="E437" s="328"/>
      <c r="F437" s="328"/>
      <c r="DF437" s="326"/>
      <c r="DI437" s="327"/>
    </row>
    <row r="438" spans="2:113" s="325" customFormat="1" ht="15.75" customHeight="1" hidden="1">
      <c r="B438" s="328"/>
      <c r="C438" s="328"/>
      <c r="D438" s="328"/>
      <c r="E438" s="328"/>
      <c r="F438" s="328"/>
      <c r="DF438" s="326"/>
      <c r="DI438" s="327"/>
    </row>
    <row r="439" spans="2:113" s="325" customFormat="1" ht="15.75" customHeight="1" hidden="1">
      <c r="B439" s="328"/>
      <c r="C439" s="328"/>
      <c r="D439" s="328"/>
      <c r="E439" s="328"/>
      <c r="F439" s="328"/>
      <c r="DF439" s="326"/>
      <c r="DI439" s="327"/>
    </row>
    <row r="440" spans="2:113" s="325" customFormat="1" ht="15.75" customHeight="1" hidden="1">
      <c r="B440" s="328"/>
      <c r="C440" s="328"/>
      <c r="D440" s="328"/>
      <c r="E440" s="328"/>
      <c r="F440" s="328"/>
      <c r="DF440" s="326"/>
      <c r="DI440" s="327"/>
    </row>
    <row r="441" spans="2:113" s="325" customFormat="1" ht="15.75" customHeight="1" hidden="1">
      <c r="B441" s="328"/>
      <c r="C441" s="328"/>
      <c r="D441" s="328"/>
      <c r="E441" s="328"/>
      <c r="F441" s="328"/>
      <c r="DF441" s="326"/>
      <c r="DI441" s="327"/>
    </row>
    <row r="442" spans="2:113" s="325" customFormat="1" ht="15.75" customHeight="1" hidden="1">
      <c r="B442" s="328"/>
      <c r="C442" s="328"/>
      <c r="D442" s="328"/>
      <c r="E442" s="328"/>
      <c r="F442" s="328"/>
      <c r="DF442" s="326"/>
      <c r="DI442" s="327"/>
    </row>
    <row r="443" spans="2:113" s="325" customFormat="1" ht="15.75" customHeight="1" hidden="1">
      <c r="B443" s="328"/>
      <c r="C443" s="328"/>
      <c r="D443" s="328"/>
      <c r="E443" s="328"/>
      <c r="F443" s="328"/>
      <c r="DF443" s="326"/>
      <c r="DI443" s="327"/>
    </row>
    <row r="444" spans="2:113" s="325" customFormat="1" ht="15.75" customHeight="1">
      <c r="B444" s="328"/>
      <c r="C444" s="328"/>
      <c r="D444" s="328"/>
      <c r="E444" s="328"/>
      <c r="F444" s="328"/>
      <c r="DF444" s="326"/>
      <c r="DI444" s="327"/>
    </row>
    <row r="445" spans="2:113" s="325" customFormat="1" ht="15.75" customHeight="1">
      <c r="B445" s="328"/>
      <c r="C445" s="328"/>
      <c r="D445" s="328"/>
      <c r="E445" s="328"/>
      <c r="F445" s="328"/>
      <c r="DF445" s="326"/>
      <c r="DI445" s="327"/>
    </row>
    <row r="446" spans="2:113" s="325" customFormat="1" ht="15.75" customHeight="1">
      <c r="B446" s="328"/>
      <c r="C446" s="328"/>
      <c r="D446" s="328"/>
      <c r="E446" s="328"/>
      <c r="F446" s="328"/>
      <c r="DF446" s="326"/>
      <c r="DI446" s="327"/>
    </row>
    <row r="447" spans="2:113" s="325" customFormat="1" ht="15.75" customHeight="1">
      <c r="B447" s="328"/>
      <c r="C447" s="328"/>
      <c r="D447" s="328"/>
      <c r="E447" s="328"/>
      <c r="F447" s="328"/>
      <c r="DF447" s="326"/>
      <c r="DI447" s="327"/>
    </row>
    <row r="448" spans="2:113" s="325" customFormat="1" ht="15.75" customHeight="1">
      <c r="B448" s="328"/>
      <c r="C448" s="328"/>
      <c r="D448" s="328"/>
      <c r="E448" s="328"/>
      <c r="F448" s="328"/>
      <c r="DF448" s="326"/>
      <c r="DI448" s="327"/>
    </row>
    <row r="449" spans="2:113" s="325" customFormat="1" ht="15.75" customHeight="1">
      <c r="B449" s="328"/>
      <c r="C449" s="328"/>
      <c r="D449" s="328"/>
      <c r="E449" s="328"/>
      <c r="F449" s="328"/>
      <c r="DF449" s="326"/>
      <c r="DI449" s="327"/>
    </row>
  </sheetData>
  <sheetProtection password="DA03" sheet="1" selectLockedCells="1"/>
  <protectedRanges>
    <protectedRange sqref="F42:J42 B41:E42 F4 L42:L43 B39:K40 F41 H41:L41 J44 L45:M45 AT106:AU129 H44 K42:K45 G45:J45 M43:O43 J33:J34 J35:M38 L30:L32 J31:K32 M39:P41 K25:N26 J25:J30 O25:P29 I33 O33:P38 M30:Q30 AU98:AU105 D34:G34 B35:D38 E38:G38 E35:F37 AQ98:AQ129 AL47:AQ90 AP104:AP127 AV47:BB129 AT47:AU97 P43:P46 N44:O45 AR47:AS129 N22 E1:P3 P22 E4:E5 D6:E6 F5:O5 AN97:AN102 B24 B23:P23 B43:J43 B45:F46 G46:O46 L4:O4 I4 P4:P7 B1:C5 M6:N6 J6:K6 K8 B17:D22 B14:H14 I9:P10 H34:I38 B12:C13 E16:F22 G18:H18 G16:J17 G19:J22 G27:G32 G24:H25 E24:F24 E33:F33 F26:F32 B25:C34 E27:E32 M32 O32 M31:P31 AL128:AP129 AL97:AM127 AO97:AP103 I24 I26 B6:B7 B8:C10 E8:G8 M8 E9:H13 AL1:BB46 I12:P14 B15:P15" name="Range1"/>
    <protectedRange sqref="C193:K194" name="Range1_1"/>
  </protectedRanges>
  <mergeCells count="80">
    <mergeCell ref="G24:I24"/>
    <mergeCell ref="J24:P24"/>
    <mergeCell ref="B41:E41"/>
    <mergeCell ref="G22:H22"/>
    <mergeCell ref="K22:L22"/>
    <mergeCell ref="M41:N41"/>
    <mergeCell ref="F41:L41"/>
    <mergeCell ref="J37:M37"/>
    <mergeCell ref="E25:H25"/>
    <mergeCell ref="B22:C22"/>
    <mergeCell ref="M6:O6"/>
    <mergeCell ref="D6:I6"/>
    <mergeCell ref="B8:E8"/>
    <mergeCell ref="F8:J8"/>
    <mergeCell ref="O46:P46"/>
    <mergeCell ref="G26:H26"/>
    <mergeCell ref="G27:H27"/>
    <mergeCell ref="G28:H28"/>
    <mergeCell ref="G29:H29"/>
    <mergeCell ref="J46:K46"/>
    <mergeCell ref="B44:C44"/>
    <mergeCell ref="D44:G44"/>
    <mergeCell ref="B35:C35"/>
    <mergeCell ref="C25:D26"/>
    <mergeCell ref="G30:H30"/>
    <mergeCell ref="G18:H18"/>
    <mergeCell ref="B24:F24"/>
    <mergeCell ref="E39:I39"/>
    <mergeCell ref="I33:P33"/>
    <mergeCell ref="G33:H33"/>
    <mergeCell ref="J6:L6"/>
    <mergeCell ref="K10:N10"/>
    <mergeCell ref="B12:F12"/>
    <mergeCell ref="J16:P16"/>
    <mergeCell ref="D22:F22"/>
    <mergeCell ref="B18:F18"/>
    <mergeCell ref="G12:J12"/>
    <mergeCell ref="B6:C6"/>
    <mergeCell ref="B10:F10"/>
    <mergeCell ref="B16:D16"/>
    <mergeCell ref="D46:I46"/>
    <mergeCell ref="B46:C46"/>
    <mergeCell ref="B48:D48"/>
    <mergeCell ref="N25:P29"/>
    <mergeCell ref="J35:M35"/>
    <mergeCell ref="G31:H31"/>
    <mergeCell ref="J36:N36"/>
    <mergeCell ref="D35:E35"/>
    <mergeCell ref="M30:N30"/>
    <mergeCell ref="B33:D33"/>
    <mergeCell ref="B1:P2"/>
    <mergeCell ref="B25:B26"/>
    <mergeCell ref="N44:O44"/>
    <mergeCell ref="B39:D39"/>
    <mergeCell ref="B43:P43"/>
    <mergeCell ref="L30:L31"/>
    <mergeCell ref="J30:K31"/>
    <mergeCell ref="N22:O22"/>
    <mergeCell ref="L4:P4"/>
    <mergeCell ref="C4:H4"/>
    <mergeCell ref="I4:K4"/>
    <mergeCell ref="B49:P49"/>
    <mergeCell ref="J44:M44"/>
    <mergeCell ref="H44:I44"/>
    <mergeCell ref="M39:P39"/>
    <mergeCell ref="L48:P48"/>
    <mergeCell ref="I48:K48"/>
    <mergeCell ref="B20:H20"/>
    <mergeCell ref="K20:N20"/>
    <mergeCell ref="E48:H48"/>
    <mergeCell ref="J39:L39"/>
    <mergeCell ref="K8:M8"/>
    <mergeCell ref="N8:P8"/>
    <mergeCell ref="B14:F14"/>
    <mergeCell ref="G14:I14"/>
    <mergeCell ref="J14:N14"/>
    <mergeCell ref="O14:P14"/>
    <mergeCell ref="I18:M18"/>
    <mergeCell ref="M31:N31"/>
    <mergeCell ref="I25:I31"/>
  </mergeCells>
  <hyperlinks>
    <hyperlink ref="B49" r:id="rId1" display="www.prtunzb.org"/>
  </hyperlinks>
  <printOptions/>
  <pageMargins left="0.75" right="0.25" top="0.5" bottom="1" header="0" footer="0.75"/>
  <pageSetup horizontalDpi="180" verticalDpi="180" orientation="landscape" paperSize="5" r:id="rId4"/>
  <headerFooter alignWithMargins="0">
    <oddFooter>&amp;C&amp;"Times New Roman,Bold"&amp;11P.Srinivas Reddy, Gen.Sec. PRTU Domakonda. 94900 25862</oddFooter>
  </headerFooter>
  <drawing r:id="rId3"/>
  <legacyDrawing r:id="rId2"/>
</worksheet>
</file>

<file path=xl/worksheets/sheet3.xml><?xml version="1.0" encoding="utf-8"?>
<worksheet xmlns="http://schemas.openxmlformats.org/spreadsheetml/2006/main" xmlns:r="http://schemas.openxmlformats.org/officeDocument/2006/relationships">
  <dimension ref="A1:K46"/>
  <sheetViews>
    <sheetView showGridLines="0" zoomScalePageLayoutView="0" workbookViewId="0" topLeftCell="A1">
      <selection activeCell="G42" sqref="G42:K42"/>
    </sheetView>
  </sheetViews>
  <sheetFormatPr defaultColWidth="9.33203125" defaultRowHeight="12.75"/>
  <cols>
    <col min="1" max="1" width="6.5" style="238" customWidth="1"/>
    <col min="2" max="2" width="8.16015625" style="238" customWidth="1"/>
    <col min="3" max="3" width="12.16015625" style="238" customWidth="1"/>
    <col min="4" max="4" width="10.33203125" style="238" customWidth="1"/>
    <col min="5" max="5" width="11.16015625" style="238" customWidth="1"/>
    <col min="6" max="6" width="13" style="238" customWidth="1"/>
    <col min="7" max="7" width="2.16015625" style="238" customWidth="1"/>
    <col min="8" max="8" width="13.66015625" style="238" customWidth="1"/>
    <col min="9" max="9" width="8" style="238" customWidth="1"/>
    <col min="10" max="10" width="7.5" style="238" customWidth="1"/>
    <col min="11" max="11" width="6" style="238" customWidth="1"/>
    <col min="12" max="16384" width="9.33203125" style="238" customWidth="1"/>
  </cols>
  <sheetData>
    <row r="1" spans="1:11" ht="18.75">
      <c r="A1" s="596" t="str">
        <f>Data!AK93</f>
        <v>Proceedings of the Gazetted Heasd Master, Kama Reddy</v>
      </c>
      <c r="B1" s="596"/>
      <c r="C1" s="596"/>
      <c r="D1" s="596"/>
      <c r="E1" s="596"/>
      <c r="F1" s="596"/>
      <c r="G1" s="596"/>
      <c r="H1" s="596"/>
      <c r="I1" s="596"/>
      <c r="J1" s="596"/>
      <c r="K1" s="596"/>
    </row>
    <row r="2" spans="1:11" ht="15.75">
      <c r="A2" s="597" t="str">
        <f>CONCATENATE("Present: ",Data!F41,)</f>
        <v>Present: Sri. R.Madhava Reddy, B.Sc, B.Ed.</v>
      </c>
      <c r="B2" s="597"/>
      <c r="C2" s="597"/>
      <c r="D2" s="597"/>
      <c r="E2" s="597"/>
      <c r="F2" s="597"/>
      <c r="G2" s="597"/>
      <c r="H2" s="597"/>
      <c r="I2" s="597"/>
      <c r="J2" s="597"/>
      <c r="K2" s="597"/>
    </row>
    <row r="3" spans="1:11" s="1" customFormat="1" ht="15">
      <c r="A3" s="388"/>
      <c r="B3" s="388"/>
      <c r="C3" s="388"/>
      <c r="D3" s="388"/>
      <c r="E3" s="388"/>
      <c r="F3" s="388"/>
      <c r="G3" s="388"/>
      <c r="H3" s="388"/>
      <c r="I3" s="388"/>
      <c r="J3" s="388"/>
      <c r="K3" s="388"/>
    </row>
    <row r="4" spans="1:11" s="1" customFormat="1" ht="15">
      <c r="A4" s="388" t="s">
        <v>23</v>
      </c>
      <c r="B4" s="388"/>
      <c r="C4" s="388"/>
      <c r="D4" s="388"/>
      <c r="E4" s="388"/>
      <c r="F4" s="388"/>
      <c r="G4" s="388"/>
      <c r="H4" s="388"/>
      <c r="I4" s="388" t="s">
        <v>331</v>
      </c>
      <c r="J4" s="388"/>
      <c r="K4" s="388"/>
    </row>
    <row r="5" spans="1:11" s="1" customFormat="1" ht="15">
      <c r="A5" s="388"/>
      <c r="B5" s="388"/>
      <c r="C5" s="388"/>
      <c r="D5" s="388"/>
      <c r="E5" s="388"/>
      <c r="F5" s="388"/>
      <c r="G5" s="388"/>
      <c r="H5" s="388"/>
      <c r="I5" s="388"/>
      <c r="J5" s="388"/>
      <c r="K5" s="388"/>
    </row>
    <row r="6" spans="1:11" s="1" customFormat="1" ht="25.5" customHeight="1">
      <c r="A6" s="388"/>
      <c r="B6" s="385" t="s">
        <v>19</v>
      </c>
      <c r="C6" s="600" t="str">
        <f>Data!C193</f>
        <v>APSESS - Modified Automatic Advancement Scheme - Pay Fixation of Sri. G.Ravinder Reddy, Surveyar, AD, Mineing  in SG Scale in Surveyar cadre - Orders - Issued.</v>
      </c>
      <c r="D6" s="600"/>
      <c r="E6" s="600"/>
      <c r="F6" s="600"/>
      <c r="G6" s="600"/>
      <c r="H6" s="600"/>
      <c r="I6" s="600"/>
      <c r="J6" s="600"/>
      <c r="K6" s="600"/>
    </row>
    <row r="7" spans="1:11" s="1" customFormat="1" ht="36" customHeight="1">
      <c r="A7" s="388"/>
      <c r="B7" s="388"/>
      <c r="C7" s="600"/>
      <c r="D7" s="600"/>
      <c r="E7" s="600"/>
      <c r="F7" s="600"/>
      <c r="G7" s="600"/>
      <c r="H7" s="600"/>
      <c r="I7" s="600"/>
      <c r="J7" s="600"/>
      <c r="K7" s="600"/>
    </row>
    <row r="8" spans="1:11" s="1" customFormat="1" ht="15">
      <c r="A8" s="388"/>
      <c r="B8" s="388" t="s">
        <v>5</v>
      </c>
      <c r="C8" s="388" t="s">
        <v>582</v>
      </c>
      <c r="D8" s="388"/>
      <c r="E8" s="388"/>
      <c r="F8" s="388"/>
      <c r="G8" s="388"/>
      <c r="H8" s="388"/>
      <c r="I8" s="388"/>
      <c r="J8" s="388"/>
      <c r="K8" s="388"/>
    </row>
    <row r="9" spans="1:11" s="1" customFormat="1" ht="15">
      <c r="A9" s="388"/>
      <c r="B9" s="388"/>
      <c r="C9" s="388" t="s">
        <v>583</v>
      </c>
      <c r="D9" s="388"/>
      <c r="E9" s="388"/>
      <c r="F9" s="388"/>
      <c r="G9" s="388"/>
      <c r="H9" s="388"/>
      <c r="I9" s="388"/>
      <c r="J9" s="388"/>
      <c r="K9" s="388"/>
    </row>
    <row r="10" spans="1:11" s="1" customFormat="1" ht="15">
      <c r="A10" s="388"/>
      <c r="B10" s="388"/>
      <c r="C10" s="388" t="s">
        <v>584</v>
      </c>
      <c r="D10" s="388"/>
      <c r="E10" s="388"/>
      <c r="F10" s="388"/>
      <c r="G10" s="388"/>
      <c r="H10" s="388"/>
      <c r="I10" s="388"/>
      <c r="J10" s="388"/>
      <c r="K10" s="388"/>
    </row>
    <row r="11" spans="1:11" s="1" customFormat="1" ht="15">
      <c r="A11" s="388"/>
      <c r="B11" s="388"/>
      <c r="C11" s="389" t="s">
        <v>330</v>
      </c>
      <c r="D11" s="388"/>
      <c r="E11" s="388"/>
      <c r="F11" s="388"/>
      <c r="G11" s="388"/>
      <c r="H11" s="388"/>
      <c r="I11" s="388"/>
      <c r="J11" s="388"/>
      <c r="K11" s="388"/>
    </row>
    <row r="12" spans="1:11" s="1" customFormat="1" ht="15">
      <c r="A12" s="388"/>
      <c r="B12" s="388"/>
      <c r="C12" s="388"/>
      <c r="D12" s="388"/>
      <c r="E12" s="388"/>
      <c r="F12" s="388"/>
      <c r="G12" s="388"/>
      <c r="H12" s="388"/>
      <c r="I12" s="388"/>
      <c r="J12" s="388"/>
      <c r="K12" s="388"/>
    </row>
    <row r="13" spans="1:11" s="1" customFormat="1" ht="15">
      <c r="A13" s="388" t="s">
        <v>4</v>
      </c>
      <c r="B13" s="388"/>
      <c r="C13" s="388"/>
      <c r="D13" s="388"/>
      <c r="E13" s="388"/>
      <c r="F13" s="388"/>
      <c r="G13" s="388"/>
      <c r="H13" s="388"/>
      <c r="I13" s="388"/>
      <c r="J13" s="388"/>
      <c r="K13" s="388"/>
    </row>
    <row r="14" spans="1:11" s="1" customFormat="1" ht="15">
      <c r="A14" s="388"/>
      <c r="B14" s="388"/>
      <c r="C14" s="388"/>
      <c r="D14" s="388"/>
      <c r="E14" s="388"/>
      <c r="F14" s="388"/>
      <c r="G14" s="388"/>
      <c r="H14" s="388"/>
      <c r="I14" s="388"/>
      <c r="J14" s="388"/>
      <c r="K14" s="388"/>
    </row>
    <row r="15" spans="1:11" s="1" customFormat="1" ht="15">
      <c r="A15" s="598" t="s">
        <v>571</v>
      </c>
      <c r="B15" s="598"/>
      <c r="C15" s="598"/>
      <c r="D15" s="598"/>
      <c r="E15" s="598"/>
      <c r="F15" s="598"/>
      <c r="G15" s="598"/>
      <c r="H15" s="598"/>
      <c r="I15" s="598"/>
      <c r="J15" s="598"/>
      <c r="K15" s="598"/>
    </row>
    <row r="16" spans="1:11" s="1" customFormat="1" ht="18.75" customHeight="1">
      <c r="A16" s="598"/>
      <c r="B16" s="598"/>
      <c r="C16" s="598"/>
      <c r="D16" s="598"/>
      <c r="E16" s="598"/>
      <c r="F16" s="598"/>
      <c r="G16" s="598"/>
      <c r="H16" s="598"/>
      <c r="I16" s="598"/>
      <c r="J16" s="598"/>
      <c r="K16" s="598"/>
    </row>
    <row r="17" spans="1:11" s="1" customFormat="1" ht="95.25" customHeight="1">
      <c r="A17" s="598" t="str">
        <f>Data!C195</f>
        <v>                    In terms of conditions laid down in the said Govt. order. The incumbent Sri. G.Ravinder Reddy, Surveyar, AD, Mineing , Mandal Nizamabad Pay has Fixed in SG (6Years)  Scale in  Surveyar cadre at Rs. 10300/- In the Time Scale of 11530-33200 in modified Automatic Advancement Scheme w.e.f 1/2/2010 after successfull completion of Eligible Service in the Surveyar cadre since he/she is fully qualified for relevent promotion post meant for the scale.</v>
      </c>
      <c r="B17" s="598"/>
      <c r="C17" s="598"/>
      <c r="D17" s="598"/>
      <c r="E17" s="598"/>
      <c r="F17" s="598"/>
      <c r="G17" s="598"/>
      <c r="H17" s="598"/>
      <c r="I17" s="598"/>
      <c r="J17" s="598"/>
      <c r="K17" s="598"/>
    </row>
    <row r="18" spans="1:11" s="1" customFormat="1" ht="33.75" customHeight="1">
      <c r="A18" s="598" t="s">
        <v>572</v>
      </c>
      <c r="B18" s="598"/>
      <c r="C18" s="598"/>
      <c r="D18" s="598"/>
      <c r="E18" s="598"/>
      <c r="F18" s="598"/>
      <c r="G18" s="598"/>
      <c r="H18" s="598"/>
      <c r="I18" s="598"/>
      <c r="J18" s="598"/>
      <c r="K18" s="598"/>
    </row>
    <row r="19" spans="1:11" s="1" customFormat="1" ht="15">
      <c r="A19" s="388"/>
      <c r="B19" s="388"/>
      <c r="C19" s="388"/>
      <c r="D19" s="388"/>
      <c r="E19" s="388"/>
      <c r="F19" s="388"/>
      <c r="G19" s="388"/>
      <c r="H19" s="388"/>
      <c r="I19" s="388"/>
      <c r="J19" s="388"/>
      <c r="K19" s="388"/>
    </row>
    <row r="20" spans="1:11" s="1" customFormat="1" ht="15.75" customHeight="1">
      <c r="A20" s="390" t="s">
        <v>342</v>
      </c>
      <c r="B20" s="388" t="str">
        <f>CONCATENATE("Date of Joining in the ",Data!C89," Post")</f>
        <v>Date of Joining in the Surveyar Post</v>
      </c>
      <c r="C20" s="388"/>
      <c r="D20" s="388"/>
      <c r="E20" s="388"/>
      <c r="F20" s="388"/>
      <c r="G20" s="388" t="s">
        <v>347</v>
      </c>
      <c r="H20" s="391" t="str">
        <f>Data!C84</f>
        <v>23/10/2002</v>
      </c>
      <c r="I20" s="388"/>
      <c r="J20" s="388"/>
      <c r="K20" s="388"/>
    </row>
    <row r="21" spans="1:11" s="1" customFormat="1" ht="15.75" customHeight="1">
      <c r="A21" s="390" t="s">
        <v>343</v>
      </c>
      <c r="B21" s="388" t="s">
        <v>348</v>
      </c>
      <c r="C21" s="388"/>
      <c r="D21" s="388"/>
      <c r="E21" s="388"/>
      <c r="F21" s="388"/>
      <c r="G21" s="388" t="s">
        <v>347</v>
      </c>
      <c r="H21" s="389" t="str">
        <f>Data!N89</f>
        <v>B.Sc</v>
      </c>
      <c r="I21" s="388"/>
      <c r="J21" s="388"/>
      <c r="K21" s="388"/>
    </row>
    <row r="22" spans="1:11" s="1" customFormat="1" ht="15.75" customHeight="1">
      <c r="A22" s="390" t="s">
        <v>345</v>
      </c>
      <c r="B22" s="388" t="s">
        <v>349</v>
      </c>
      <c r="C22" s="388"/>
      <c r="D22" s="388"/>
      <c r="E22" s="388"/>
      <c r="F22" s="388"/>
      <c r="G22" s="388" t="s">
        <v>347</v>
      </c>
      <c r="H22" s="389" t="str">
        <f>Data!O89</f>
        <v>B.Ed</v>
      </c>
      <c r="I22" s="388"/>
      <c r="J22" s="388"/>
      <c r="K22" s="388"/>
    </row>
    <row r="23" spans="1:11" s="1" customFormat="1" ht="15.75" customHeight="1">
      <c r="A23" s="390" t="s">
        <v>346</v>
      </c>
      <c r="B23" s="388" t="s">
        <v>350</v>
      </c>
      <c r="C23" s="388"/>
      <c r="D23" s="388"/>
      <c r="E23" s="388"/>
      <c r="F23" s="388"/>
      <c r="G23" s="388" t="s">
        <v>347</v>
      </c>
      <c r="H23" s="389" t="str">
        <f>Data!P89</f>
        <v>Exempted</v>
      </c>
      <c r="I23" s="388"/>
      <c r="J23" s="388"/>
      <c r="K23" s="388"/>
    </row>
    <row r="24" spans="1:11" s="1" customFormat="1" ht="15.75" customHeight="1">
      <c r="A24" s="390" t="s">
        <v>351</v>
      </c>
      <c r="B24" s="388" t="s">
        <v>344</v>
      </c>
      <c r="C24" s="388"/>
      <c r="D24" s="388"/>
      <c r="E24" s="388"/>
      <c r="F24" s="388"/>
      <c r="G24" s="388" t="s">
        <v>347</v>
      </c>
      <c r="H24" s="389" t="str">
        <f>CONCATENATE(Data!O10," Days")</f>
        <v>0 Days</v>
      </c>
      <c r="I24" s="388"/>
      <c r="J24" s="388"/>
      <c r="K24" s="388"/>
    </row>
    <row r="25" spans="1:11" s="1" customFormat="1" ht="15.75" customHeight="1">
      <c r="A25" s="390" t="s">
        <v>352</v>
      </c>
      <c r="B25" s="388" t="str">
        <f>CONCATENATE("Date of Completion of (",PROGRAMME!Y9,"Years) Service")</f>
        <v>Date of Completion of (6Years) Service</v>
      </c>
      <c r="C25" s="388"/>
      <c r="D25" s="388"/>
      <c r="E25" s="388"/>
      <c r="F25" s="388"/>
      <c r="G25" s="388" t="s">
        <v>347</v>
      </c>
      <c r="H25" s="391">
        <f>Data!P83-1</f>
        <v>39743</v>
      </c>
      <c r="I25" s="388"/>
      <c r="J25" s="388"/>
      <c r="K25" s="388"/>
    </row>
    <row r="26" spans="1:11" s="1" customFormat="1" ht="15.75" customHeight="1">
      <c r="A26" s="390" t="s">
        <v>353</v>
      </c>
      <c r="B26" s="388" t="str">
        <f>CONCATENATE("Date of (",PROGRAMME!Y9,"Years) ",PROGRAMME!W9," Scale Allowed ")</f>
        <v>Date of (6Years) SG Scale Allowed </v>
      </c>
      <c r="C26" s="388"/>
      <c r="D26" s="388"/>
      <c r="E26" s="388"/>
      <c r="F26" s="388"/>
      <c r="G26" s="388" t="s">
        <v>347</v>
      </c>
      <c r="H26" s="391" t="str">
        <f>Data!R84</f>
        <v>1/2/2010</v>
      </c>
      <c r="I26" s="388"/>
      <c r="J26" s="388"/>
      <c r="K26" s="388"/>
    </row>
    <row r="27" spans="1:11" s="1" customFormat="1" ht="15.75" customHeight="1">
      <c r="A27" s="390" t="s">
        <v>354</v>
      </c>
      <c r="B27" s="392" t="s">
        <v>356</v>
      </c>
      <c r="C27" s="388"/>
      <c r="D27" s="393" t="str">
        <f>H26</f>
        <v>1/2/2010</v>
      </c>
      <c r="E27" s="388"/>
      <c r="F27" s="388"/>
      <c r="G27" s="388" t="s">
        <v>347</v>
      </c>
      <c r="H27" s="394" t="str">
        <f>Data!C213</f>
        <v>7100-21250</v>
      </c>
      <c r="I27" s="388"/>
      <c r="J27" s="388"/>
      <c r="K27" s="388"/>
    </row>
    <row r="28" spans="1:11" s="1" customFormat="1" ht="15.75" customHeight="1">
      <c r="A28" s="390"/>
      <c r="B28" s="388"/>
      <c r="C28" s="388"/>
      <c r="D28" s="388"/>
      <c r="E28" s="388"/>
      <c r="F28" s="388"/>
      <c r="G28" s="388"/>
      <c r="H28" s="389" t="str">
        <f>PROGRAMME!K4</f>
        <v>  Rs.10020/-</v>
      </c>
      <c r="I28" s="388"/>
      <c r="J28" s="388"/>
      <c r="K28" s="388"/>
    </row>
    <row r="29" spans="1:11" s="1" customFormat="1" ht="15">
      <c r="A29" s="390" t="s">
        <v>355</v>
      </c>
      <c r="B29" s="388" t="s">
        <v>357</v>
      </c>
      <c r="C29" s="388"/>
      <c r="D29" s="391" t="str">
        <f>D27</f>
        <v>1/2/2010</v>
      </c>
      <c r="E29" s="388" t="str">
        <f>CONCATENATE("in ",PROGRAMME!W9," Scale")</f>
        <v>in SG Scale</v>
      </c>
      <c r="F29" s="388"/>
      <c r="G29" s="388" t="s">
        <v>347</v>
      </c>
      <c r="H29" s="394" t="str">
        <f>Data!C214</f>
        <v>7520-22430</v>
      </c>
      <c r="I29" s="388"/>
      <c r="J29" s="388"/>
      <c r="K29" s="388"/>
    </row>
    <row r="30" spans="1:11" s="1" customFormat="1" ht="15">
      <c r="A30" s="388"/>
      <c r="B30" s="388"/>
      <c r="C30" s="388"/>
      <c r="D30" s="388"/>
      <c r="E30" s="388"/>
      <c r="F30" s="388"/>
      <c r="G30" s="388"/>
      <c r="H30" s="389" t="str">
        <f>PROGRAMME!L4</f>
        <v>  Rs.10300/-</v>
      </c>
      <c r="I30" s="388"/>
      <c r="J30" s="388"/>
      <c r="K30" s="388"/>
    </row>
    <row r="31" spans="1:11" s="1" customFormat="1" ht="15">
      <c r="A31" s="390" t="s">
        <v>358</v>
      </c>
      <c r="B31" s="393" t="str">
        <f>PROGRAMME!I5</f>
        <v>Due to AGI as on </v>
      </c>
      <c r="C31" s="388"/>
      <c r="D31" s="388"/>
      <c r="E31" s="388"/>
      <c r="F31" s="393" t="str">
        <f>PROGRAMME!J5</f>
        <v>1/10/2010</v>
      </c>
      <c r="G31" s="388" t="s">
        <v>347</v>
      </c>
      <c r="H31" s="389" t="str">
        <f>PROGRAMME!L5</f>
        <v>Rs.10600/-</v>
      </c>
      <c r="I31" s="388"/>
      <c r="J31" s="388"/>
      <c r="K31" s="388"/>
    </row>
    <row r="32" spans="1:11" s="1" customFormat="1" ht="15">
      <c r="A32" s="390" t="s">
        <v>359</v>
      </c>
      <c r="B32" s="393">
        <f>PROGRAMME!I6</f>
      </c>
      <c r="C32" s="388"/>
      <c r="D32" s="388"/>
      <c r="E32" s="388"/>
      <c r="F32" s="393">
        <f>PROGRAMME!J6</f>
      </c>
      <c r="G32" s="388" t="s">
        <v>347</v>
      </c>
      <c r="H32" s="389">
        <f>PROGRAMME!L6</f>
      </c>
      <c r="I32" s="388"/>
      <c r="J32" s="388"/>
      <c r="K32" s="388"/>
    </row>
    <row r="33" spans="1:11" s="1" customFormat="1" ht="15">
      <c r="A33" s="390" t="s">
        <v>360</v>
      </c>
      <c r="B33" s="393">
        <f>PROGRAMME!I7</f>
      </c>
      <c r="C33" s="388"/>
      <c r="D33" s="388"/>
      <c r="E33" s="388"/>
      <c r="F33" s="393">
        <f>PROGRAMME!J7</f>
      </c>
      <c r="G33" s="388" t="s">
        <v>347</v>
      </c>
      <c r="H33" s="389">
        <f>PROGRAMME!L7</f>
      </c>
      <c r="I33" s="388"/>
      <c r="J33" s="388"/>
      <c r="K33" s="388"/>
    </row>
    <row r="34" spans="1:11" s="1" customFormat="1" ht="15">
      <c r="A34" s="390" t="s">
        <v>361</v>
      </c>
      <c r="B34" s="393">
        <f>PROGRAMME!I8</f>
      </c>
      <c r="C34" s="388"/>
      <c r="D34" s="388"/>
      <c r="E34" s="388"/>
      <c r="F34" s="393">
        <f>PROGRAMME!J8</f>
      </c>
      <c r="G34" s="388" t="s">
        <v>347</v>
      </c>
      <c r="H34" s="389">
        <f>PROGRAMME!L8</f>
      </c>
      <c r="I34" s="388"/>
      <c r="J34" s="388"/>
      <c r="K34" s="388"/>
    </row>
    <row r="35" spans="1:11" s="1" customFormat="1" ht="15">
      <c r="A35" s="390" t="s">
        <v>362</v>
      </c>
      <c r="B35" s="393">
        <f>PROGRAMME!I9</f>
      </c>
      <c r="C35" s="388"/>
      <c r="D35" s="388"/>
      <c r="E35" s="388"/>
      <c r="F35" s="393">
        <f>PROGRAMME!J9</f>
      </c>
      <c r="G35" s="388" t="s">
        <v>347</v>
      </c>
      <c r="H35" s="389">
        <f>PROGRAMME!L9</f>
      </c>
      <c r="I35" s="388"/>
      <c r="J35" s="388"/>
      <c r="K35" s="388"/>
    </row>
    <row r="36" spans="1:11" s="1" customFormat="1" ht="15">
      <c r="A36" s="390"/>
      <c r="B36" s="388"/>
      <c r="C36" s="388" t="s">
        <v>363</v>
      </c>
      <c r="D36" s="388"/>
      <c r="E36" s="388"/>
      <c r="F36" s="393" t="str">
        <f>Data!C209</f>
        <v>01/08/2011</v>
      </c>
      <c r="G36" s="388"/>
      <c r="H36" s="389"/>
      <c r="I36" s="388"/>
      <c r="J36" s="388"/>
      <c r="K36" s="388"/>
    </row>
    <row r="37" spans="1:11" s="1" customFormat="1" ht="39.75" customHeight="1">
      <c r="A37" s="598" t="s">
        <v>573</v>
      </c>
      <c r="B37" s="598"/>
      <c r="C37" s="598"/>
      <c r="D37" s="598"/>
      <c r="E37" s="598"/>
      <c r="F37" s="598"/>
      <c r="G37" s="598"/>
      <c r="H37" s="598"/>
      <c r="I37" s="598"/>
      <c r="J37" s="598"/>
      <c r="K37" s="598"/>
    </row>
    <row r="38" spans="1:11" s="1" customFormat="1" ht="66.75" customHeight="1">
      <c r="A38" s="598" t="s">
        <v>574</v>
      </c>
      <c r="B38" s="598"/>
      <c r="C38" s="598"/>
      <c r="D38" s="598"/>
      <c r="E38" s="598"/>
      <c r="F38" s="598"/>
      <c r="G38" s="598"/>
      <c r="H38" s="598"/>
      <c r="I38" s="598"/>
      <c r="J38" s="598"/>
      <c r="K38" s="598"/>
    </row>
    <row r="39" spans="1:11" s="1" customFormat="1" ht="15">
      <c r="A39" s="388"/>
      <c r="B39" s="388"/>
      <c r="C39" s="388"/>
      <c r="D39" s="388"/>
      <c r="E39" s="388"/>
      <c r="F39" s="388"/>
      <c r="G39" s="388"/>
      <c r="H39" s="389"/>
      <c r="I39" s="388"/>
      <c r="J39" s="388"/>
      <c r="K39" s="388"/>
    </row>
    <row r="40" spans="1:11" s="1" customFormat="1" ht="15">
      <c r="A40" s="388"/>
      <c r="B40" s="388"/>
      <c r="C40" s="388"/>
      <c r="D40" s="388"/>
      <c r="E40" s="388"/>
      <c r="F40" s="388"/>
      <c r="G40" s="388"/>
      <c r="H40" s="389"/>
      <c r="I40" s="388"/>
      <c r="J40" s="388"/>
      <c r="K40" s="388"/>
    </row>
    <row r="41" spans="1:11" s="1" customFormat="1" ht="15">
      <c r="A41" s="388"/>
      <c r="B41" s="388"/>
      <c r="C41" s="388"/>
      <c r="D41" s="388"/>
      <c r="E41" s="388"/>
      <c r="F41" s="388"/>
      <c r="G41" s="599" t="str">
        <f>Data!AH90</f>
        <v>Gazetted Heasd Master</v>
      </c>
      <c r="H41" s="599"/>
      <c r="I41" s="599"/>
      <c r="J41" s="599"/>
      <c r="K41" s="599"/>
    </row>
    <row r="42" spans="1:11" s="1" customFormat="1" ht="15">
      <c r="A42" s="388"/>
      <c r="B42" s="388"/>
      <c r="C42" s="388"/>
      <c r="D42" s="388"/>
      <c r="E42" s="388"/>
      <c r="F42" s="388"/>
      <c r="G42" s="599" t="str">
        <f>Data!AK91</f>
        <v>Kama Reddy</v>
      </c>
      <c r="H42" s="599"/>
      <c r="I42" s="599"/>
      <c r="J42" s="599"/>
      <c r="K42" s="599"/>
    </row>
    <row r="43" spans="1:11" s="1" customFormat="1" ht="15">
      <c r="A43" s="388"/>
      <c r="B43" s="388"/>
      <c r="C43" s="388"/>
      <c r="D43" s="388"/>
      <c r="E43" s="388"/>
      <c r="F43" s="388"/>
      <c r="G43" s="388"/>
      <c r="H43" s="388"/>
      <c r="I43" s="388"/>
      <c r="J43" s="388"/>
      <c r="K43" s="388"/>
    </row>
    <row r="44" spans="1:11" s="1" customFormat="1" ht="15">
      <c r="A44" s="388"/>
      <c r="B44" s="388"/>
      <c r="C44" s="388"/>
      <c r="D44" s="388"/>
      <c r="E44" s="388"/>
      <c r="F44" s="388"/>
      <c r="G44" s="388"/>
      <c r="H44" s="388"/>
      <c r="I44" s="388"/>
      <c r="J44" s="388"/>
      <c r="K44" s="388"/>
    </row>
    <row r="45" spans="1:11" s="1" customFormat="1" ht="15">
      <c r="A45" s="388" t="s">
        <v>575</v>
      </c>
      <c r="B45" s="388"/>
      <c r="C45" s="388"/>
      <c r="D45" s="388"/>
      <c r="E45" s="388"/>
      <c r="F45" s="388"/>
      <c r="G45" s="388"/>
      <c r="H45" s="388"/>
      <c r="I45" s="388"/>
      <c r="J45" s="388"/>
      <c r="K45" s="388"/>
    </row>
    <row r="46" s="1" customFormat="1" ht="15">
      <c r="A46" s="387" t="s">
        <v>576</v>
      </c>
    </row>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sheetData>
  <sheetProtection password="D7F0" sheet="1" insertRows="0" deleteRows="0" selectLockedCells="1"/>
  <protectedRanges>
    <protectedRange sqref="A1:K44" name="Range1"/>
  </protectedRanges>
  <mergeCells count="10">
    <mergeCell ref="A1:K1"/>
    <mergeCell ref="A2:K2"/>
    <mergeCell ref="A17:K17"/>
    <mergeCell ref="A18:K18"/>
    <mergeCell ref="G41:K41"/>
    <mergeCell ref="G42:K42"/>
    <mergeCell ref="A37:K37"/>
    <mergeCell ref="A38:K38"/>
    <mergeCell ref="A15:K16"/>
    <mergeCell ref="C6:K7"/>
  </mergeCells>
  <printOptions/>
  <pageMargins left="0.75" right="0.45" top="0.75" bottom="0.75" header="0" footer="0"/>
  <pageSetup horizontalDpi="600" verticalDpi="600" orientation="portrait" paperSize="5" r:id="rId1"/>
</worksheet>
</file>

<file path=xl/worksheets/sheet4.xml><?xml version="1.0" encoding="utf-8"?>
<worksheet xmlns="http://schemas.openxmlformats.org/spreadsheetml/2006/main" xmlns:r="http://schemas.openxmlformats.org/officeDocument/2006/relationships">
  <sheetPr codeName="Sheet1"/>
  <dimension ref="A1:AF51"/>
  <sheetViews>
    <sheetView showGridLines="0" zoomScalePageLayoutView="0" workbookViewId="0" topLeftCell="A1">
      <selection activeCell="E15" sqref="E15"/>
    </sheetView>
  </sheetViews>
  <sheetFormatPr defaultColWidth="9.33203125" defaultRowHeight="12.75"/>
  <cols>
    <col min="1" max="1" width="8.33203125" style="119" customWidth="1"/>
    <col min="2" max="2" width="15.5" style="120" customWidth="1"/>
    <col min="3" max="3" width="9.16015625" style="119" customWidth="1"/>
    <col min="4" max="4" width="8.66015625" style="119" customWidth="1"/>
    <col min="5" max="5" width="8" style="119" customWidth="1"/>
    <col min="6" max="6" width="6.5" style="119" customWidth="1"/>
    <col min="7" max="7" width="6.66015625" style="119" customWidth="1"/>
    <col min="8" max="8" width="8.83203125" style="119" customWidth="1"/>
    <col min="9" max="9" width="6.33203125" style="119" customWidth="1"/>
    <col min="10" max="10" width="8.83203125" style="116" customWidth="1"/>
    <col min="11" max="11" width="8.66015625" style="119" customWidth="1"/>
    <col min="12" max="12" width="7.5" style="119" customWidth="1"/>
    <col min="13" max="13" width="7.16015625" style="119" customWidth="1"/>
    <col min="14" max="14" width="7.33203125" style="119" customWidth="1"/>
    <col min="15" max="15" width="8.33203125" style="119" customWidth="1"/>
    <col min="16" max="16" width="6.66015625" style="119" customWidth="1"/>
    <col min="17" max="17" width="7.33203125" style="119" customWidth="1"/>
    <col min="18" max="18" width="7.16015625" style="119" customWidth="1"/>
    <col min="19" max="19" width="6.83203125" style="119" customWidth="1"/>
    <col min="20" max="20" width="6.66015625" style="119" customWidth="1"/>
    <col min="21" max="21" width="6.83203125" style="119" customWidth="1"/>
    <col min="22" max="22" width="8.5" style="119" customWidth="1"/>
    <col min="23" max="23" width="5.83203125" style="112" customWidth="1"/>
    <col min="24" max="24" width="6.83203125" style="112" customWidth="1"/>
    <col min="25" max="25" width="7" style="112" customWidth="1"/>
    <col min="26" max="26" width="7.16015625" style="112" customWidth="1"/>
    <col min="27" max="27" width="2.5" style="119" customWidth="1"/>
    <col min="28" max="28" width="7" style="119" customWidth="1"/>
    <col min="29" max="29" width="4.83203125" style="119" bestFit="1" customWidth="1"/>
    <col min="30" max="30" width="9.16015625" style="119" customWidth="1"/>
    <col min="31" max="31" width="2.83203125" style="113" customWidth="1"/>
    <col min="32" max="32" width="8" style="113" customWidth="1"/>
    <col min="33" max="33" width="4" style="119" customWidth="1"/>
    <col min="34" max="34" width="4.5" style="119" customWidth="1"/>
    <col min="35" max="16384" width="9.33203125" style="119" customWidth="1"/>
  </cols>
  <sheetData>
    <row r="1" spans="1:32" s="114" customFormat="1" ht="12.75" customHeight="1">
      <c r="A1" s="618" t="str">
        <f>Data!C198</f>
        <v>SG Increment Arrears of Sri. G.Ravinder Reddy, Surveyar, AD, Mineing </v>
      </c>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112"/>
      <c r="AB1" s="112"/>
      <c r="AC1" s="112"/>
      <c r="AD1" s="112"/>
      <c r="AE1" s="113"/>
      <c r="AF1" s="113"/>
    </row>
    <row r="2" spans="1:32" s="114" customFormat="1" ht="8.25" customHeight="1">
      <c r="A2" s="113"/>
      <c r="B2" s="115"/>
      <c r="C2" s="113"/>
      <c r="D2" s="113"/>
      <c r="E2" s="113"/>
      <c r="F2" s="113"/>
      <c r="G2" s="113"/>
      <c r="H2" s="113"/>
      <c r="I2" s="113"/>
      <c r="J2" s="116"/>
      <c r="K2" s="113"/>
      <c r="L2" s="113"/>
      <c r="M2" s="113"/>
      <c r="N2" s="113"/>
      <c r="O2" s="113"/>
      <c r="P2" s="113"/>
      <c r="Q2" s="113"/>
      <c r="R2" s="113"/>
      <c r="S2" s="113"/>
      <c r="T2" s="113"/>
      <c r="U2" s="113"/>
      <c r="V2" s="113"/>
      <c r="W2" s="117"/>
      <c r="X2" s="117"/>
      <c r="Y2" s="117"/>
      <c r="Z2" s="117"/>
      <c r="AA2" s="113"/>
      <c r="AB2" s="113"/>
      <c r="AC2" s="113"/>
      <c r="AD2" s="113"/>
      <c r="AE2" s="113"/>
      <c r="AF2" s="113"/>
    </row>
    <row r="3" spans="1:26" s="171" customFormat="1" ht="18.75" customHeight="1">
      <c r="A3" s="612" t="s">
        <v>6</v>
      </c>
      <c r="B3" s="614" t="s">
        <v>7</v>
      </c>
      <c r="C3" s="601" t="s">
        <v>8</v>
      </c>
      <c r="D3" s="602"/>
      <c r="E3" s="602"/>
      <c r="F3" s="602"/>
      <c r="G3" s="602"/>
      <c r="H3" s="603"/>
      <c r="I3" s="605" t="s">
        <v>222</v>
      </c>
      <c r="J3" s="601" t="s">
        <v>9</v>
      </c>
      <c r="K3" s="602"/>
      <c r="L3" s="602"/>
      <c r="M3" s="602"/>
      <c r="N3" s="602"/>
      <c r="O3" s="603"/>
      <c r="P3" s="605" t="s">
        <v>223</v>
      </c>
      <c r="Q3" s="601" t="s">
        <v>10</v>
      </c>
      <c r="R3" s="602"/>
      <c r="S3" s="602"/>
      <c r="T3" s="602"/>
      <c r="U3" s="602"/>
      <c r="V3" s="603"/>
      <c r="W3" s="605" t="s">
        <v>224</v>
      </c>
      <c r="X3" s="605" t="s">
        <v>323</v>
      </c>
      <c r="Y3" s="605" t="s">
        <v>552</v>
      </c>
      <c r="Z3" s="620" t="s">
        <v>153</v>
      </c>
    </row>
    <row r="4" spans="1:26" s="230" customFormat="1" ht="33" customHeight="1">
      <c r="A4" s="613"/>
      <c r="B4" s="615"/>
      <c r="C4" s="228" t="s">
        <v>43</v>
      </c>
      <c r="D4" s="228" t="s">
        <v>11</v>
      </c>
      <c r="E4" s="228" t="s">
        <v>12</v>
      </c>
      <c r="F4" s="228" t="s">
        <v>219</v>
      </c>
      <c r="G4" s="228" t="s">
        <v>22</v>
      </c>
      <c r="H4" s="228" t="s">
        <v>13</v>
      </c>
      <c r="I4" s="606"/>
      <c r="J4" s="228" t="s">
        <v>43</v>
      </c>
      <c r="K4" s="228" t="s">
        <v>11</v>
      </c>
      <c r="L4" s="228" t="s">
        <v>12</v>
      </c>
      <c r="M4" s="228" t="s">
        <v>219</v>
      </c>
      <c r="N4" s="228" t="s">
        <v>22</v>
      </c>
      <c r="O4" s="228" t="s">
        <v>13</v>
      </c>
      <c r="P4" s="606"/>
      <c r="Q4" s="228" t="s">
        <v>43</v>
      </c>
      <c r="R4" s="228" t="s">
        <v>11</v>
      </c>
      <c r="S4" s="228" t="s">
        <v>12</v>
      </c>
      <c r="T4" s="228" t="s">
        <v>219</v>
      </c>
      <c r="U4" s="229" t="s">
        <v>22</v>
      </c>
      <c r="V4" s="228" t="s">
        <v>14</v>
      </c>
      <c r="W4" s="606"/>
      <c r="X4" s="606"/>
      <c r="Y4" s="606"/>
      <c r="Z4" s="620"/>
    </row>
    <row r="5" spans="1:26" s="173" customFormat="1" ht="12" customHeight="1">
      <c r="A5" s="172">
        <v>1</v>
      </c>
      <c r="B5" s="227" t="str">
        <f>PROGRAMME!F21</f>
        <v>1-28/2/2010</v>
      </c>
      <c r="C5" s="118">
        <f>PROGRAMME!S21</f>
        <v>10300</v>
      </c>
      <c r="D5" s="118">
        <f>ROUND(C5*16.264%,0.1)</f>
        <v>1675</v>
      </c>
      <c r="E5" s="118">
        <f>ROUND(C5*PROGRAMME!V21%,0.1)</f>
        <v>2060</v>
      </c>
      <c r="F5" s="118"/>
      <c r="G5" s="118">
        <f>IF(C5=0,0,IF(Data!D73=2,0,900))</f>
        <v>0</v>
      </c>
      <c r="H5" s="118">
        <f aca="true" t="shared" si="0" ref="H5:H15">SUM(C5:G5)</f>
        <v>14035</v>
      </c>
      <c r="I5" s="118">
        <f>IF(Data!D73=1,0,IF(H5&gt;20000,200,IF(H5&gt;15000,150,IF(H5&gt;10000,100,IF(H5&gt;6000,80,IF(H5&gt;5000,60,0))))))</f>
        <v>100</v>
      </c>
      <c r="J5" s="118">
        <f>PROGRAMME!T21</f>
        <v>10020</v>
      </c>
      <c r="K5" s="118">
        <f>ROUND(J5*16.264%,0.1)</f>
        <v>1630</v>
      </c>
      <c r="L5" s="118">
        <f>ROUND(J5*PROGRAMME!V21%,0.1)</f>
        <v>2004</v>
      </c>
      <c r="M5" s="118"/>
      <c r="N5" s="118">
        <f>IF(J5=0,0,IF(Data!D73=2,0,900))</f>
        <v>0</v>
      </c>
      <c r="O5" s="118">
        <f>SUM(J5:N5)</f>
        <v>13654</v>
      </c>
      <c r="P5" s="118">
        <f>IF(Data!D73=1,0,IF(O5&gt;20000,200,IF(O5&gt;15000,150,IF(O5&gt;10000,100,IF(O5&gt;6000,80,IF(O5&gt;5000,60,0))))))</f>
        <v>100</v>
      </c>
      <c r="Q5" s="118">
        <f aca="true" t="shared" si="1" ref="Q5:Q25">C5-J5</f>
        <v>280</v>
      </c>
      <c r="R5" s="118">
        <f aca="true" t="shared" si="2" ref="R5:R15">D5-K5</f>
        <v>45</v>
      </c>
      <c r="S5" s="118">
        <f aca="true" t="shared" si="3" ref="S5:S15">E5-L5</f>
        <v>56</v>
      </c>
      <c r="T5" s="118">
        <f aca="true" t="shared" si="4" ref="T5:T15">F5-M5</f>
        <v>0</v>
      </c>
      <c r="U5" s="118">
        <f aca="true" t="shared" si="5" ref="U5:U15">G5-N5</f>
        <v>0</v>
      </c>
      <c r="V5" s="118">
        <f>SUM(Q5:U5)</f>
        <v>381</v>
      </c>
      <c r="W5" s="118">
        <f aca="true" t="shared" si="6" ref="W5:W31">I5-P5</f>
        <v>0</v>
      </c>
      <c r="X5" s="118">
        <f>IF(Data!AG104=3,((ROUND(Q5/10,0.1))+(ROUND(R5/10,0.1))),V5-W5)</f>
        <v>381</v>
      </c>
      <c r="Y5" s="118">
        <f>IF(Data!AG104=3,V5-W5-X5,0)</f>
        <v>0</v>
      </c>
      <c r="Z5" s="118">
        <f>V5-W5-X5-Y5</f>
        <v>0</v>
      </c>
    </row>
    <row r="6" spans="1:26" s="173" customFormat="1" ht="12" customHeight="1">
      <c r="A6" s="172">
        <v>2</v>
      </c>
      <c r="B6" s="227" t="str">
        <f>PROGRAMME!F22</f>
        <v>March-10</v>
      </c>
      <c r="C6" s="118">
        <f>PROGRAMME!S22</f>
        <v>10300</v>
      </c>
      <c r="D6" s="118">
        <f>ROUND(C6*16.264%,0.1)</f>
        <v>1675</v>
      </c>
      <c r="E6" s="118">
        <f>ROUND(C6*PROGRAMME!V22%,0.1)</f>
        <v>2060</v>
      </c>
      <c r="F6" s="118"/>
      <c r="G6" s="118">
        <f>IF(C6=0,0,IF(Data!D73=2,0,900))</f>
        <v>0</v>
      </c>
      <c r="H6" s="118">
        <f t="shared" si="0"/>
        <v>14035</v>
      </c>
      <c r="I6" s="118">
        <f>IF(Data!D73=1,0,IF(H6&gt;20000,200,IF(H6&gt;15000,150,IF(H6&gt;10000,100,IF(H6&gt;6000,80,IF(H6&gt;5000,60,0))))))</f>
        <v>100</v>
      </c>
      <c r="J6" s="118">
        <f>PROGRAMME!T22</f>
        <v>10020</v>
      </c>
      <c r="K6" s="118">
        <f>ROUND(J6*16.264%,0.1)</f>
        <v>1630</v>
      </c>
      <c r="L6" s="118">
        <f>ROUND(J6*PROGRAMME!V22%,0.1)</f>
        <v>2004</v>
      </c>
      <c r="M6" s="118"/>
      <c r="N6" s="118">
        <f>IF(J6=0,0,IF(Data!D73=2,0,900))</f>
        <v>0</v>
      </c>
      <c r="O6" s="118">
        <f aca="true" t="shared" si="7" ref="O6:O30">SUM(J6:N6)</f>
        <v>13654</v>
      </c>
      <c r="P6" s="118">
        <f>IF(Data!D73=1,0,IF(O6&gt;20000,200,IF(O6&gt;15000,150,IF(O6&gt;10000,100,IF(O6&gt;6000,80,IF(O6&gt;5000,60,0))))))</f>
        <v>100</v>
      </c>
      <c r="Q6" s="118">
        <f t="shared" si="1"/>
        <v>280</v>
      </c>
      <c r="R6" s="118">
        <f t="shared" si="2"/>
        <v>45</v>
      </c>
      <c r="S6" s="118">
        <f t="shared" si="3"/>
        <v>56</v>
      </c>
      <c r="T6" s="118">
        <f t="shared" si="4"/>
        <v>0</v>
      </c>
      <c r="U6" s="118">
        <f t="shared" si="5"/>
        <v>0</v>
      </c>
      <c r="V6" s="118">
        <f aca="true" t="shared" si="8" ref="V6:V28">SUM(Q6:U6)</f>
        <v>381</v>
      </c>
      <c r="W6" s="118">
        <f t="shared" si="6"/>
        <v>0</v>
      </c>
      <c r="X6" s="118">
        <f>IF(Data!AG104=3,((ROUND(Q6/10,0.1))+(ROUND(R6/10,0.1))),V6-W6)</f>
        <v>381</v>
      </c>
      <c r="Y6" s="118">
        <f>IF(Data!AG104=3,V6-W6-X6,0)</f>
        <v>0</v>
      </c>
      <c r="Z6" s="118">
        <f aca="true" t="shared" si="9" ref="Z6:Z31">V6-W6-X6-Y6</f>
        <v>0</v>
      </c>
    </row>
    <row r="7" spans="1:26" s="173" customFormat="1" ht="12" customHeight="1">
      <c r="A7" s="172">
        <v>3</v>
      </c>
      <c r="B7" s="227" t="str">
        <f>PROGRAMME!F23</f>
        <v>April-10</v>
      </c>
      <c r="C7" s="118">
        <f>PROGRAMME!S23</f>
        <v>10300</v>
      </c>
      <c r="D7" s="118">
        <f>ROUND(C7*16.264%,0.1)</f>
        <v>1675</v>
      </c>
      <c r="E7" s="118">
        <f>ROUND(C7*PROGRAMME!V23%,0.1)</f>
        <v>2060</v>
      </c>
      <c r="F7" s="118"/>
      <c r="G7" s="118">
        <f>IF(C7=0,0,IF(Data!D73=2,0,690))</f>
        <v>0</v>
      </c>
      <c r="H7" s="118">
        <f t="shared" si="0"/>
        <v>14035</v>
      </c>
      <c r="I7" s="118">
        <f>IF(Data!D73=1,0,IF(H7&gt;20000,200,IF(H7&gt;15000,150,IF(H7&gt;10000,100,IF(H7&gt;6000,80,IF(H7&gt;5000,60,0))))))</f>
        <v>100</v>
      </c>
      <c r="J7" s="118">
        <f>PROGRAMME!T23</f>
        <v>10020</v>
      </c>
      <c r="K7" s="118">
        <f>ROUND(J7*16.264%,0.1)</f>
        <v>1630</v>
      </c>
      <c r="L7" s="118">
        <f>ROUND(J7*PROGRAMME!V23%,0.1)</f>
        <v>2004</v>
      </c>
      <c r="M7" s="118"/>
      <c r="N7" s="118">
        <f>IF(J7=0,0,IF(Data!D73=2,0,690))</f>
        <v>0</v>
      </c>
      <c r="O7" s="118">
        <f t="shared" si="7"/>
        <v>13654</v>
      </c>
      <c r="P7" s="118">
        <f>IF(Data!D73=1,0,IF(O7&gt;20000,200,IF(O7&gt;15000,150,IF(O7&gt;10000,100,IF(O7&gt;6000,80,IF(O7&gt;5000,60,0))))))</f>
        <v>100</v>
      </c>
      <c r="Q7" s="118">
        <f t="shared" si="1"/>
        <v>280</v>
      </c>
      <c r="R7" s="118">
        <f t="shared" si="2"/>
        <v>45</v>
      </c>
      <c r="S7" s="118">
        <f t="shared" si="3"/>
        <v>56</v>
      </c>
      <c r="T7" s="118">
        <f t="shared" si="4"/>
        <v>0</v>
      </c>
      <c r="U7" s="118">
        <f t="shared" si="5"/>
        <v>0</v>
      </c>
      <c r="V7" s="118">
        <f t="shared" si="8"/>
        <v>381</v>
      </c>
      <c r="W7" s="118">
        <f t="shared" si="6"/>
        <v>0</v>
      </c>
      <c r="X7" s="118">
        <f>IF(Data!AG104=3,((ROUND(Q7/10,0.1))+(ROUND(R7/10,0.1))),V7-W7)</f>
        <v>381</v>
      </c>
      <c r="Y7" s="118">
        <f>IF(Data!AG104=3,V7-W7-X7,0)</f>
        <v>0</v>
      </c>
      <c r="Z7" s="118">
        <f t="shared" si="9"/>
        <v>0</v>
      </c>
    </row>
    <row r="8" spans="1:26" s="173" customFormat="1" ht="12" customHeight="1">
      <c r="A8" s="172">
        <v>4</v>
      </c>
      <c r="B8" s="227" t="str">
        <f>PROGRAMME!F24</f>
        <v>May-10</v>
      </c>
      <c r="C8" s="118">
        <f>PROGRAMME!S24</f>
        <v>10300</v>
      </c>
      <c r="D8" s="118">
        <f>ROUND(C8*16.264%,0.1)</f>
        <v>1675</v>
      </c>
      <c r="E8" s="118">
        <f>ROUND(C8*PROGRAMME!V24%,0.1)</f>
        <v>2060</v>
      </c>
      <c r="F8" s="118"/>
      <c r="G8" s="118">
        <f>IF(Data!D73=2,0,0)</f>
        <v>0</v>
      </c>
      <c r="H8" s="118">
        <f t="shared" si="0"/>
        <v>14035</v>
      </c>
      <c r="I8" s="118">
        <f>IF(Data!D73=1,0,IF(H8&gt;20000,200,IF(H8&gt;15000,150,IF(H8&gt;10000,100,IF(H8&gt;6000,80,IF(H8&gt;5000,60,0))))))</f>
        <v>100</v>
      </c>
      <c r="J8" s="118">
        <f>PROGRAMME!T24</f>
        <v>10020</v>
      </c>
      <c r="K8" s="118">
        <f>ROUND(J8*16.264%,0.1)</f>
        <v>1630</v>
      </c>
      <c r="L8" s="118">
        <f>ROUND(J8*PROGRAMME!V24%,0.1)</f>
        <v>2004</v>
      </c>
      <c r="M8" s="118"/>
      <c r="N8" s="118">
        <f>IF(J8=0,0,IF(Data!D73=2,0,0))</f>
        <v>0</v>
      </c>
      <c r="O8" s="118">
        <f t="shared" si="7"/>
        <v>13654</v>
      </c>
      <c r="P8" s="118">
        <f>IF(Data!D73=1,0,IF(O8&gt;20000,200,IF(O8&gt;15000,150,IF(O8&gt;10000,100,IF(O8&gt;6000,80,IF(O8&gt;5000,60,0))))))</f>
        <v>100</v>
      </c>
      <c r="Q8" s="118">
        <f t="shared" si="1"/>
        <v>280</v>
      </c>
      <c r="R8" s="118">
        <f t="shared" si="2"/>
        <v>45</v>
      </c>
      <c r="S8" s="118">
        <f t="shared" si="3"/>
        <v>56</v>
      </c>
      <c r="T8" s="118">
        <f t="shared" si="4"/>
        <v>0</v>
      </c>
      <c r="U8" s="118">
        <f t="shared" si="5"/>
        <v>0</v>
      </c>
      <c r="V8" s="118">
        <f t="shared" si="8"/>
        <v>381</v>
      </c>
      <c r="W8" s="118">
        <f t="shared" si="6"/>
        <v>0</v>
      </c>
      <c r="X8" s="118">
        <f>IF(Data!AG104=3,((ROUND(Q8/10,0.1))+(ROUND(R8/10,0.1))),V8-W8)</f>
        <v>381</v>
      </c>
      <c r="Y8" s="118">
        <f>IF(Data!AG104=3,V8-W8-X8,0)</f>
        <v>0</v>
      </c>
      <c r="Z8" s="118">
        <f t="shared" si="9"/>
        <v>0</v>
      </c>
    </row>
    <row r="9" spans="1:26" s="173" customFormat="1" ht="12" customHeight="1">
      <c r="A9" s="172">
        <v>5</v>
      </c>
      <c r="B9" s="227" t="str">
        <f>PROGRAMME!F25</f>
        <v>June-10</v>
      </c>
      <c r="C9" s="118">
        <f>PROGRAMME!S25</f>
        <v>10300</v>
      </c>
      <c r="D9" s="118">
        <f>ROUND(C9*16.264%,0.1)</f>
        <v>1675</v>
      </c>
      <c r="E9" s="118">
        <f>ROUND(C9*PROGRAMME!V25%,0.1)</f>
        <v>2060</v>
      </c>
      <c r="F9" s="118"/>
      <c r="G9" s="118">
        <f>IF(C9=0,0,IF(Data!D73=2,0,540))</f>
        <v>0</v>
      </c>
      <c r="H9" s="118">
        <f t="shared" si="0"/>
        <v>14035</v>
      </c>
      <c r="I9" s="118">
        <f>IF(Data!D73=1,0,IF(H9&gt;20000,200,IF(H9&gt;15000,150,IF(H9&gt;10000,100,IF(H9&gt;6000,80,IF(H9&gt;5000,60,0))))))</f>
        <v>100</v>
      </c>
      <c r="J9" s="118">
        <f>PROGRAMME!T25</f>
        <v>10020</v>
      </c>
      <c r="K9" s="118">
        <f>ROUND(J9*16.264%,0.1)</f>
        <v>1630</v>
      </c>
      <c r="L9" s="118">
        <f>ROUND(J9*PROGRAMME!V25%,0.1)</f>
        <v>2004</v>
      </c>
      <c r="M9" s="118"/>
      <c r="N9" s="118">
        <f>IF(J9=0,0,IF(Data!D73=2,0,540))</f>
        <v>0</v>
      </c>
      <c r="O9" s="118">
        <f t="shared" si="7"/>
        <v>13654</v>
      </c>
      <c r="P9" s="118">
        <f>IF(Data!D73=1,0,IF(O9&gt;20000,200,IF(O9&gt;15000,150,IF(O9&gt;10000,100,IF(O9&gt;6000,80,IF(O9&gt;5000,60,0))))))</f>
        <v>100</v>
      </c>
      <c r="Q9" s="118">
        <f t="shared" si="1"/>
        <v>280</v>
      </c>
      <c r="R9" s="118">
        <f t="shared" si="2"/>
        <v>45</v>
      </c>
      <c r="S9" s="118">
        <f t="shared" si="3"/>
        <v>56</v>
      </c>
      <c r="T9" s="118">
        <f t="shared" si="4"/>
        <v>0</v>
      </c>
      <c r="U9" s="118">
        <f t="shared" si="5"/>
        <v>0</v>
      </c>
      <c r="V9" s="118">
        <f t="shared" si="8"/>
        <v>381</v>
      </c>
      <c r="W9" s="118">
        <f t="shared" si="6"/>
        <v>0</v>
      </c>
      <c r="X9" s="118">
        <f>IF(Data!AG104=3,((ROUND(Q9/10,0.1))+(ROUND(R9/10,0.1))),V9-W9)</f>
        <v>381</v>
      </c>
      <c r="Y9" s="118">
        <f>IF(Data!AG104=3,V9-W9-X9,0)</f>
        <v>0</v>
      </c>
      <c r="Z9" s="118">
        <f t="shared" si="9"/>
        <v>0</v>
      </c>
    </row>
    <row r="10" spans="1:26" s="173" customFormat="1" ht="12" customHeight="1">
      <c r="A10" s="172">
        <v>6</v>
      </c>
      <c r="B10" s="227" t="str">
        <f>PROGRAMME!F26</f>
        <v>July-10</v>
      </c>
      <c r="C10" s="118">
        <f>PROGRAMME!S26</f>
        <v>10300</v>
      </c>
      <c r="D10" s="118">
        <f aca="true" t="shared" si="10" ref="D10:D15">ROUND(C10*24.824%,0.1)</f>
        <v>2557</v>
      </c>
      <c r="E10" s="118">
        <f>ROUND(C10*PROGRAMME!V26%,0.1)</f>
        <v>2060</v>
      </c>
      <c r="F10" s="118"/>
      <c r="G10" s="118">
        <f>IF(C10=0,0,IF(Data!D73=2,0,900))</f>
        <v>0</v>
      </c>
      <c r="H10" s="118">
        <f t="shared" si="0"/>
        <v>14917</v>
      </c>
      <c r="I10" s="118">
        <f>IF(Data!D73=1,0,IF(H10&gt;20000,200,IF(H10&gt;15000,150,IF(H10&gt;10000,100,IF(H10&gt;6000,80,IF(H10&gt;5000,60,0))))))</f>
        <v>100</v>
      </c>
      <c r="J10" s="118">
        <f>PROGRAMME!T26</f>
        <v>10020</v>
      </c>
      <c r="K10" s="118">
        <f aca="true" t="shared" si="11" ref="K10:K15">ROUND(J10*24.824%,0.1)</f>
        <v>2487</v>
      </c>
      <c r="L10" s="118">
        <f>ROUND(J10*PROGRAMME!V26%,0.1)</f>
        <v>2004</v>
      </c>
      <c r="M10" s="118"/>
      <c r="N10" s="118">
        <f>IF(J10=0,0,IF(Data!D73=2,0,900))</f>
        <v>0</v>
      </c>
      <c r="O10" s="118">
        <f t="shared" si="7"/>
        <v>14511</v>
      </c>
      <c r="P10" s="118">
        <f>IF(Data!D73=1,0,IF(O10&gt;20000,200,IF(O10&gt;15000,150,IF(O10&gt;10000,100,IF(O10&gt;6000,80,IF(O10&gt;5000,60,0))))))</f>
        <v>100</v>
      </c>
      <c r="Q10" s="118">
        <f t="shared" si="1"/>
        <v>280</v>
      </c>
      <c r="R10" s="118">
        <f t="shared" si="2"/>
        <v>70</v>
      </c>
      <c r="S10" s="118">
        <f t="shared" si="3"/>
        <v>56</v>
      </c>
      <c r="T10" s="118">
        <f t="shared" si="4"/>
        <v>0</v>
      </c>
      <c r="U10" s="118">
        <f t="shared" si="5"/>
        <v>0</v>
      </c>
      <c r="V10" s="118">
        <f t="shared" si="8"/>
        <v>406</v>
      </c>
      <c r="W10" s="118">
        <f t="shared" si="6"/>
        <v>0</v>
      </c>
      <c r="X10" s="118">
        <f>IF(Data!AG104=3,((ROUND(Q10/10,0.1))+(ROUND(R10/10,0.1))),V10-W10)</f>
        <v>406</v>
      </c>
      <c r="Y10" s="118">
        <f>IF(Data!AG104=3,V10-W10-X10,0)</f>
        <v>0</v>
      </c>
      <c r="Z10" s="118">
        <f t="shared" si="9"/>
        <v>0</v>
      </c>
    </row>
    <row r="11" spans="1:26" s="173" customFormat="1" ht="12" customHeight="1">
      <c r="A11" s="172">
        <v>7</v>
      </c>
      <c r="B11" s="227" t="str">
        <f>PROGRAMME!F27</f>
        <v>August-10</v>
      </c>
      <c r="C11" s="118">
        <f>PROGRAMME!S27</f>
        <v>10300</v>
      </c>
      <c r="D11" s="118">
        <f t="shared" si="10"/>
        <v>2557</v>
      </c>
      <c r="E11" s="118">
        <f>ROUND(C11*PROGRAMME!V27%,0.1)</f>
        <v>2060</v>
      </c>
      <c r="F11" s="118"/>
      <c r="G11" s="118">
        <f>IF(C11=0,0,IF(Data!D73=2,0,900))</f>
        <v>0</v>
      </c>
      <c r="H11" s="118">
        <f t="shared" si="0"/>
        <v>14917</v>
      </c>
      <c r="I11" s="118">
        <f>IF(Data!D73=1,0,IF(H11&gt;20000,200,IF(H11&gt;15000,150,IF(H11&gt;10000,100,IF(H11&gt;6000,80,IF(H11&gt;5000,60,0))))))</f>
        <v>100</v>
      </c>
      <c r="J11" s="118">
        <f>PROGRAMME!T27</f>
        <v>10020</v>
      </c>
      <c r="K11" s="118">
        <f t="shared" si="11"/>
        <v>2487</v>
      </c>
      <c r="L11" s="118">
        <f>ROUND(J11*PROGRAMME!V27%,0.1)</f>
        <v>2004</v>
      </c>
      <c r="M11" s="118"/>
      <c r="N11" s="118">
        <f>IF(J11=0,0,IF(Data!D73=2,0,900))</f>
        <v>0</v>
      </c>
      <c r="O11" s="118">
        <f t="shared" si="7"/>
        <v>14511</v>
      </c>
      <c r="P11" s="118">
        <f>IF(Data!D73=1,0,IF(O11&gt;20000,200,IF(O11&gt;15000,150,IF(O11&gt;10000,100,IF(O11&gt;6000,80,IF(O11&gt;5000,60,0))))))</f>
        <v>100</v>
      </c>
      <c r="Q11" s="118">
        <f t="shared" si="1"/>
        <v>280</v>
      </c>
      <c r="R11" s="118">
        <f t="shared" si="2"/>
        <v>70</v>
      </c>
      <c r="S11" s="118">
        <f t="shared" si="3"/>
        <v>56</v>
      </c>
      <c r="T11" s="118">
        <f t="shared" si="4"/>
        <v>0</v>
      </c>
      <c r="U11" s="118">
        <f t="shared" si="5"/>
        <v>0</v>
      </c>
      <c r="V11" s="118">
        <f t="shared" si="8"/>
        <v>406</v>
      </c>
      <c r="W11" s="118">
        <f t="shared" si="6"/>
        <v>0</v>
      </c>
      <c r="X11" s="118">
        <f>IF(Data!AG104=3,((ROUND(Q11/10,0.1))+(ROUND(R11/10,0.1))),V11-W11)</f>
        <v>406</v>
      </c>
      <c r="Y11" s="118">
        <f>IF(Data!AG104=3,V11-W11-X11,0)</f>
        <v>0</v>
      </c>
      <c r="Z11" s="118">
        <f t="shared" si="9"/>
        <v>0</v>
      </c>
    </row>
    <row r="12" spans="1:26" s="173" customFormat="1" ht="12" customHeight="1">
      <c r="A12" s="172">
        <v>8</v>
      </c>
      <c r="B12" s="227" t="str">
        <f>PROGRAMME!F28</f>
        <v>September-10</v>
      </c>
      <c r="C12" s="118">
        <f>PROGRAMME!S28</f>
        <v>10300</v>
      </c>
      <c r="D12" s="118">
        <f t="shared" si="10"/>
        <v>2557</v>
      </c>
      <c r="E12" s="118">
        <f>ROUND(C12*PROGRAMME!V28%,0.1)</f>
        <v>2060</v>
      </c>
      <c r="F12" s="118"/>
      <c r="G12" s="118">
        <f>IF(C12=0,0,IF(Data!D73=2,0,900))</f>
        <v>0</v>
      </c>
      <c r="H12" s="118">
        <f t="shared" si="0"/>
        <v>14917</v>
      </c>
      <c r="I12" s="118">
        <f>IF(Data!D73=1,0,IF(H12&gt;20000,200,IF(H12&gt;15000,150,IF(H12&gt;10000,100,IF(H12&gt;6000,80,IF(H12&gt;5000,60,0))))))</f>
        <v>100</v>
      </c>
      <c r="J12" s="118">
        <f>PROGRAMME!T28</f>
        <v>10020</v>
      </c>
      <c r="K12" s="118">
        <f t="shared" si="11"/>
        <v>2487</v>
      </c>
      <c r="L12" s="118">
        <f>ROUND(J12*PROGRAMME!V28%,0.1)</f>
        <v>2004</v>
      </c>
      <c r="M12" s="118"/>
      <c r="N12" s="118">
        <f>IF(J12=0,0,IF(Data!D73=2,0,900))</f>
        <v>0</v>
      </c>
      <c r="O12" s="118">
        <f t="shared" si="7"/>
        <v>14511</v>
      </c>
      <c r="P12" s="118">
        <f>IF(Data!D73=1,0,IF(O12&gt;20000,200,IF(O12&gt;15000,150,IF(O12&gt;10000,100,IF(O12&gt;6000,80,IF(O12&gt;5000,60,0))))))</f>
        <v>100</v>
      </c>
      <c r="Q12" s="118">
        <f t="shared" si="1"/>
        <v>280</v>
      </c>
      <c r="R12" s="118">
        <f t="shared" si="2"/>
        <v>70</v>
      </c>
      <c r="S12" s="118">
        <f t="shared" si="3"/>
        <v>56</v>
      </c>
      <c r="T12" s="118">
        <f t="shared" si="4"/>
        <v>0</v>
      </c>
      <c r="U12" s="118">
        <f t="shared" si="5"/>
        <v>0</v>
      </c>
      <c r="V12" s="118">
        <f t="shared" si="8"/>
        <v>406</v>
      </c>
      <c r="W12" s="118">
        <f t="shared" si="6"/>
        <v>0</v>
      </c>
      <c r="X12" s="118">
        <f>IF(Data!AG104=3,((ROUND(Q12/10,0.1))+(ROUND(R12/10,0.1))),V12-W12)</f>
        <v>406</v>
      </c>
      <c r="Y12" s="118">
        <f>IF(Data!AG104=3,V12-W12-X12,0)</f>
        <v>0</v>
      </c>
      <c r="Z12" s="118">
        <f t="shared" si="9"/>
        <v>0</v>
      </c>
    </row>
    <row r="13" spans="1:26" s="173" customFormat="1" ht="12" customHeight="1">
      <c r="A13" s="172">
        <v>9</v>
      </c>
      <c r="B13" s="227" t="str">
        <f>PROGRAMME!F29</f>
        <v>October-10</v>
      </c>
      <c r="C13" s="118">
        <f>PROGRAMME!S29</f>
        <v>10600</v>
      </c>
      <c r="D13" s="118">
        <f t="shared" si="10"/>
        <v>2631</v>
      </c>
      <c r="E13" s="118">
        <f>ROUND(C13*PROGRAMME!V29%,0.1)</f>
        <v>2120</v>
      </c>
      <c r="F13" s="118"/>
      <c r="G13" s="118">
        <f>IF(C13=0,0,IF(Data!D73=2,0,900))</f>
        <v>0</v>
      </c>
      <c r="H13" s="118">
        <f t="shared" si="0"/>
        <v>15351</v>
      </c>
      <c r="I13" s="118">
        <f>IF(Data!D73=1,0,IF(H13&gt;20000,200,IF(H13&gt;15000,150,IF(H13&gt;10000,100,IF(H13&gt;6000,80,IF(H13&gt;5000,60,0))))))</f>
        <v>150</v>
      </c>
      <c r="J13" s="118">
        <f>PROGRAMME!T29</f>
        <v>10300</v>
      </c>
      <c r="K13" s="118">
        <f t="shared" si="11"/>
        <v>2557</v>
      </c>
      <c r="L13" s="118">
        <f>ROUND(J13*PROGRAMME!V29%,0.1)</f>
        <v>2060</v>
      </c>
      <c r="M13" s="118"/>
      <c r="N13" s="118">
        <f>IF(J13=0,0,IF(Data!D73=2,0,900))</f>
        <v>0</v>
      </c>
      <c r="O13" s="118">
        <f t="shared" si="7"/>
        <v>14917</v>
      </c>
      <c r="P13" s="118">
        <f>IF(Data!D73=1,0,IF(O13&gt;20000,200,IF(O13&gt;15000,150,IF(O13&gt;10000,100,IF(O13&gt;6000,80,IF(O13&gt;5000,60,0))))))</f>
        <v>100</v>
      </c>
      <c r="Q13" s="118">
        <f t="shared" si="1"/>
        <v>300</v>
      </c>
      <c r="R13" s="118">
        <f t="shared" si="2"/>
        <v>74</v>
      </c>
      <c r="S13" s="118">
        <f t="shared" si="3"/>
        <v>60</v>
      </c>
      <c r="T13" s="118">
        <f t="shared" si="4"/>
        <v>0</v>
      </c>
      <c r="U13" s="118">
        <f t="shared" si="5"/>
        <v>0</v>
      </c>
      <c r="V13" s="118">
        <f t="shared" si="8"/>
        <v>434</v>
      </c>
      <c r="W13" s="118">
        <f t="shared" si="6"/>
        <v>50</v>
      </c>
      <c r="X13" s="118">
        <f>IF(Data!AG104=3,((ROUND(Q13/10,0.1))+(ROUND(R13/10,0.1))),V13-W13)</f>
        <v>384</v>
      </c>
      <c r="Y13" s="118">
        <f>IF(Data!AG104=3,V13-W13-X13,0)</f>
        <v>0</v>
      </c>
      <c r="Z13" s="118">
        <f t="shared" si="9"/>
        <v>0</v>
      </c>
    </row>
    <row r="14" spans="1:26" s="173" customFormat="1" ht="12" customHeight="1">
      <c r="A14" s="172">
        <v>10</v>
      </c>
      <c r="B14" s="227" t="str">
        <f>PROGRAMME!F30</f>
        <v>November-10</v>
      </c>
      <c r="C14" s="118">
        <f>PROGRAMME!S30</f>
        <v>10600</v>
      </c>
      <c r="D14" s="118">
        <f t="shared" si="10"/>
        <v>2631</v>
      </c>
      <c r="E14" s="118">
        <f>ROUND(C14*PROGRAMME!V30%,0.1)</f>
        <v>2120</v>
      </c>
      <c r="F14" s="118"/>
      <c r="G14" s="118">
        <f>IF(C14=0,0,IF(Data!D73=2,0,900))</f>
        <v>0</v>
      </c>
      <c r="H14" s="118">
        <f t="shared" si="0"/>
        <v>15351</v>
      </c>
      <c r="I14" s="118">
        <f>IF(Data!D73=1,0,IF(H14&gt;20000,200,IF(H14&gt;15000,150,IF(H14&gt;10000,100,IF(H14&gt;6000,80,IF(H14&gt;5000,60,0))))))</f>
        <v>150</v>
      </c>
      <c r="J14" s="118">
        <f>PROGRAMME!T30</f>
        <v>10300</v>
      </c>
      <c r="K14" s="118">
        <f t="shared" si="11"/>
        <v>2557</v>
      </c>
      <c r="L14" s="118">
        <f>ROUND(J14*PROGRAMME!V30%,0.1)</f>
        <v>2060</v>
      </c>
      <c r="M14" s="118"/>
      <c r="N14" s="118">
        <f>IF(J14=0,0,IF(Data!D73=2,0,900))</f>
        <v>0</v>
      </c>
      <c r="O14" s="118">
        <f t="shared" si="7"/>
        <v>14917</v>
      </c>
      <c r="P14" s="118">
        <f>IF(Data!D73=1,0,IF(O14&gt;20000,200,IF(O14&gt;15000,150,IF(O14&gt;10000,100,IF(O14&gt;6000,80,IF(O14&gt;5000,60,0))))))</f>
        <v>100</v>
      </c>
      <c r="Q14" s="118">
        <f t="shared" si="1"/>
        <v>300</v>
      </c>
      <c r="R14" s="118">
        <f t="shared" si="2"/>
        <v>74</v>
      </c>
      <c r="S14" s="118">
        <f t="shared" si="3"/>
        <v>60</v>
      </c>
      <c r="T14" s="118">
        <f t="shared" si="4"/>
        <v>0</v>
      </c>
      <c r="U14" s="118">
        <f t="shared" si="5"/>
        <v>0</v>
      </c>
      <c r="V14" s="118">
        <f t="shared" si="8"/>
        <v>434</v>
      </c>
      <c r="W14" s="118">
        <f t="shared" si="6"/>
        <v>50</v>
      </c>
      <c r="X14" s="118">
        <f>IF(Data!AG104=3,((ROUND(Q14/10,0.1))+(ROUND(R14/10,0.1))),V14-W14)</f>
        <v>384</v>
      </c>
      <c r="Y14" s="118">
        <f>IF(Data!AG104=3,V14-W14-X14,0)</f>
        <v>0</v>
      </c>
      <c r="Z14" s="118">
        <f t="shared" si="9"/>
        <v>0</v>
      </c>
    </row>
    <row r="15" spans="1:26" s="173" customFormat="1" ht="12" customHeight="1">
      <c r="A15" s="172">
        <v>11</v>
      </c>
      <c r="B15" s="395" t="str">
        <f>PROGRAMME!F31</f>
        <v>December-10</v>
      </c>
      <c r="C15" s="118">
        <f>PROGRAMME!S31</f>
        <v>10600</v>
      </c>
      <c r="D15" s="118">
        <f t="shared" si="10"/>
        <v>2631</v>
      </c>
      <c r="E15" s="118">
        <f>ROUND(C15*PROGRAMME!V31%,0.1)</f>
        <v>2120</v>
      </c>
      <c r="F15" s="118"/>
      <c r="G15" s="118">
        <f>IF(C15=0,0,IF(Data!D73=2,0,900))</f>
        <v>0</v>
      </c>
      <c r="H15" s="118">
        <f t="shared" si="0"/>
        <v>15351</v>
      </c>
      <c r="I15" s="118">
        <f>IF(Data!D73=1,0,IF(H15&gt;20000,200,IF(H15&gt;15000,150,IF(H15&gt;10000,100,IF(H15&gt;6000,80,IF(H15&gt;5000,60,0))))))</f>
        <v>150</v>
      </c>
      <c r="J15" s="118">
        <f>PROGRAMME!T31</f>
        <v>10300</v>
      </c>
      <c r="K15" s="118">
        <f t="shared" si="11"/>
        <v>2557</v>
      </c>
      <c r="L15" s="118">
        <f>ROUND(J15*PROGRAMME!V31%,0.1)</f>
        <v>2060</v>
      </c>
      <c r="M15" s="118"/>
      <c r="N15" s="118">
        <f>IF(J15=0,0,IF(Data!D73=2,0,900))</f>
        <v>0</v>
      </c>
      <c r="O15" s="118">
        <f t="shared" si="7"/>
        <v>14917</v>
      </c>
      <c r="P15" s="118">
        <f>IF(Data!D73=1,0,IF(O15&gt;20000,200,IF(O15&gt;15000,150,IF(O15&gt;10000,100,IF(O15&gt;6000,80,IF(O15&gt;5000,60,0))))))</f>
        <v>100</v>
      </c>
      <c r="Q15" s="118">
        <f t="shared" si="1"/>
        <v>300</v>
      </c>
      <c r="R15" s="118">
        <f t="shared" si="2"/>
        <v>74</v>
      </c>
      <c r="S15" s="118">
        <f t="shared" si="3"/>
        <v>60</v>
      </c>
      <c r="T15" s="118">
        <f t="shared" si="4"/>
        <v>0</v>
      </c>
      <c r="U15" s="118">
        <f t="shared" si="5"/>
        <v>0</v>
      </c>
      <c r="V15" s="118">
        <f t="shared" si="8"/>
        <v>434</v>
      </c>
      <c r="W15" s="118">
        <f t="shared" si="6"/>
        <v>50</v>
      </c>
      <c r="X15" s="118">
        <f>IF(Data!AG104=3,((ROUND(Q15/10,0.1))+(ROUND(R15/10,0.1))),V15-W15)</f>
        <v>384</v>
      </c>
      <c r="Y15" s="118">
        <f>IF(Data!AG104=3,V15-W15-X15,0)</f>
        <v>0</v>
      </c>
      <c r="Z15" s="118">
        <f t="shared" si="9"/>
        <v>0</v>
      </c>
    </row>
    <row r="16" spans="1:26" s="173" customFormat="1" ht="12" customHeight="1">
      <c r="A16" s="172">
        <v>12</v>
      </c>
      <c r="B16" s="227" t="str">
        <f>PROGRAMME!F32</f>
        <v>January-11</v>
      </c>
      <c r="C16" s="118">
        <f>PROGRAMME!S32</f>
        <v>10600</v>
      </c>
      <c r="D16" s="118">
        <f>ROUND(C16*29.96%,0.1)</f>
        <v>3176</v>
      </c>
      <c r="E16" s="118">
        <f>ROUND(C16*PROGRAMME!V32%,0.1)</f>
        <v>2120</v>
      </c>
      <c r="F16" s="118"/>
      <c r="G16" s="118">
        <f>IF(C16=0,0,IF(Data!D73=2,0,900))</f>
        <v>0</v>
      </c>
      <c r="H16" s="118">
        <f aca="true" t="shared" si="12" ref="H16:H27">SUM(C16:G16)</f>
        <v>15896</v>
      </c>
      <c r="I16" s="118">
        <f>IF(Data!D73=1,0,IF(H16&gt;20000,200,IF(H16&gt;15000,150,IF(H16&gt;10000,100,IF(H16&gt;6000,80,IF(H16&gt;5000,60,0))))))</f>
        <v>150</v>
      </c>
      <c r="J16" s="118">
        <f>PROGRAMME!T32</f>
        <v>10300</v>
      </c>
      <c r="K16" s="118">
        <f>ROUND(J16*29.96%,0.1)</f>
        <v>3086</v>
      </c>
      <c r="L16" s="118">
        <f>ROUND(J16*PROGRAMME!V32%,0.1)</f>
        <v>2060</v>
      </c>
      <c r="M16" s="118"/>
      <c r="N16" s="118">
        <f>IF(J16=0,0,IF(Data!D73=2,0,900))</f>
        <v>0</v>
      </c>
      <c r="O16" s="118">
        <f t="shared" si="7"/>
        <v>15446</v>
      </c>
      <c r="P16" s="118">
        <f>IF(Data!D73=1,0,IF(O16&gt;20000,200,IF(O16&gt;15000,150,IF(O16&gt;10000,100,IF(O16&gt;6000,80,IF(O16&gt;5000,60,0))))))</f>
        <v>150</v>
      </c>
      <c r="Q16" s="118">
        <f t="shared" si="1"/>
        <v>300</v>
      </c>
      <c r="R16" s="118">
        <f aca="true" t="shared" si="13" ref="R16:R25">D16-K16</f>
        <v>90</v>
      </c>
      <c r="S16" s="118">
        <f aca="true" t="shared" si="14" ref="S16:S25">E16-L16</f>
        <v>60</v>
      </c>
      <c r="T16" s="118">
        <f aca="true" t="shared" si="15" ref="T16:T25">F16-M16</f>
        <v>0</v>
      </c>
      <c r="U16" s="118">
        <f aca="true" t="shared" si="16" ref="U16:U25">G16-N16</f>
        <v>0</v>
      </c>
      <c r="V16" s="118">
        <f aca="true" t="shared" si="17" ref="V16:V25">SUM(Q16:U16)</f>
        <v>450</v>
      </c>
      <c r="W16" s="118">
        <f t="shared" si="6"/>
        <v>0</v>
      </c>
      <c r="X16" s="118">
        <f>IF(Data!AG104=3,((ROUND(Q16/10,0.1))+(ROUND(R16/10,0.1))),V16-W16)</f>
        <v>450</v>
      </c>
      <c r="Y16" s="118">
        <f>IF(Data!AG104=3,V16-W16-X16,0)</f>
        <v>0</v>
      </c>
      <c r="Z16" s="118">
        <f t="shared" si="9"/>
        <v>0</v>
      </c>
    </row>
    <row r="17" spans="1:26" s="173" customFormat="1" ht="12" customHeight="1">
      <c r="A17" s="172">
        <v>13</v>
      </c>
      <c r="B17" s="227" t="str">
        <f>PROGRAMME!F33</f>
        <v>February-11</v>
      </c>
      <c r="C17" s="118">
        <f>PROGRAMME!S33</f>
        <v>10600</v>
      </c>
      <c r="D17" s="118">
        <f aca="true" t="shared" si="18" ref="D17:D27">ROUND(C17*29.96%,0.1)</f>
        <v>3176</v>
      </c>
      <c r="E17" s="118">
        <f>ROUND(C17*PROGRAMME!V33%,0.1)</f>
        <v>2120</v>
      </c>
      <c r="F17" s="118"/>
      <c r="G17" s="118">
        <f>IF(C17=0,0,IF(Data!D73=2,0,900))</f>
        <v>0</v>
      </c>
      <c r="H17" s="118">
        <f t="shared" si="12"/>
        <v>15896</v>
      </c>
      <c r="I17" s="118">
        <f>IF(Data!D73=1,0,IF(H17&gt;20000,200,IF(H17&gt;15000,150,IF(H17&gt;10000,100,IF(H17&gt;6000,80,IF(H17&gt;5000,60,0))))))</f>
        <v>150</v>
      </c>
      <c r="J17" s="118">
        <f>PROGRAMME!T33</f>
        <v>10300</v>
      </c>
      <c r="K17" s="118">
        <f aca="true" t="shared" si="19" ref="K17:K27">ROUND(J17*29.96%,0.1)</f>
        <v>3086</v>
      </c>
      <c r="L17" s="118">
        <f>ROUND(J17*PROGRAMME!V33%,0.1)</f>
        <v>2060</v>
      </c>
      <c r="M17" s="118"/>
      <c r="N17" s="118">
        <f>IF(J17=0,0,IF(Data!D73=2,0,900))</f>
        <v>0</v>
      </c>
      <c r="O17" s="118">
        <f t="shared" si="7"/>
        <v>15446</v>
      </c>
      <c r="P17" s="118">
        <f>IF(Data!D73=1,0,IF(O17&gt;20000,200,IF(O17&gt;15000,150,IF(O17&gt;10000,100,IF(O17&gt;6000,80,IF(O17&gt;5000,60,0))))))</f>
        <v>150</v>
      </c>
      <c r="Q17" s="118">
        <f t="shared" si="1"/>
        <v>300</v>
      </c>
      <c r="R17" s="118">
        <f t="shared" si="13"/>
        <v>90</v>
      </c>
      <c r="S17" s="118">
        <f t="shared" si="14"/>
        <v>60</v>
      </c>
      <c r="T17" s="118">
        <f t="shared" si="15"/>
        <v>0</v>
      </c>
      <c r="U17" s="118">
        <f t="shared" si="16"/>
        <v>0</v>
      </c>
      <c r="V17" s="118">
        <f t="shared" si="17"/>
        <v>450</v>
      </c>
      <c r="W17" s="118">
        <f t="shared" si="6"/>
        <v>0</v>
      </c>
      <c r="X17" s="118">
        <f>IF(Data!AG104=3,((ROUND(Q17/10,0.1))+(ROUND(R17/10,0.1))),V17-W17)</f>
        <v>450</v>
      </c>
      <c r="Y17" s="118">
        <f>IF(Data!AG104=3,V17-W17-X17,0)</f>
        <v>0</v>
      </c>
      <c r="Z17" s="118">
        <f t="shared" si="9"/>
        <v>0</v>
      </c>
    </row>
    <row r="18" spans="1:26" s="173" customFormat="1" ht="12" customHeight="1">
      <c r="A18" s="172">
        <v>14</v>
      </c>
      <c r="B18" s="227" t="str">
        <f>PROGRAMME!F34</f>
        <v>March-11</v>
      </c>
      <c r="C18" s="118">
        <f>PROGRAMME!S34</f>
        <v>10600</v>
      </c>
      <c r="D18" s="118">
        <f t="shared" si="18"/>
        <v>3176</v>
      </c>
      <c r="E18" s="118">
        <f>ROUND(C18*PROGRAMME!V34%,0.1)</f>
        <v>2120</v>
      </c>
      <c r="F18" s="118"/>
      <c r="G18" s="118">
        <f>IF(C18=0,0,IF(Data!D73=2,0,900))</f>
        <v>0</v>
      </c>
      <c r="H18" s="118">
        <f t="shared" si="12"/>
        <v>15896</v>
      </c>
      <c r="I18" s="118">
        <f>IF(Data!D73=1,0,IF(H18&gt;20000,200,IF(H18&gt;15000,150,IF(H18&gt;10000,100,IF(H18&gt;6000,80,IF(H18&gt;5000,60,0))))))</f>
        <v>150</v>
      </c>
      <c r="J18" s="118">
        <f>PROGRAMME!T34</f>
        <v>10300</v>
      </c>
      <c r="K18" s="118">
        <f t="shared" si="19"/>
        <v>3086</v>
      </c>
      <c r="L18" s="118">
        <f>ROUND(J18*PROGRAMME!V34%,0.1)</f>
        <v>2060</v>
      </c>
      <c r="M18" s="118"/>
      <c r="N18" s="118">
        <f>IF(J18=0,0,IF(Data!D73=2,0,900))</f>
        <v>0</v>
      </c>
      <c r="O18" s="118">
        <f t="shared" si="7"/>
        <v>15446</v>
      </c>
      <c r="P18" s="118">
        <f>IF(Data!D73=1,0,IF(O18&gt;20000,200,IF(O18&gt;15000,150,IF(O18&gt;10000,100,IF(O18&gt;6000,80,IF(O18&gt;5000,60,0))))))</f>
        <v>150</v>
      </c>
      <c r="Q18" s="118">
        <f t="shared" si="1"/>
        <v>300</v>
      </c>
      <c r="R18" s="118">
        <f t="shared" si="13"/>
        <v>90</v>
      </c>
      <c r="S18" s="118">
        <f t="shared" si="14"/>
        <v>60</v>
      </c>
      <c r="T18" s="118">
        <f t="shared" si="15"/>
        <v>0</v>
      </c>
      <c r="U18" s="118">
        <f t="shared" si="16"/>
        <v>0</v>
      </c>
      <c r="V18" s="118">
        <f t="shared" si="17"/>
        <v>450</v>
      </c>
      <c r="W18" s="118">
        <f t="shared" si="6"/>
        <v>0</v>
      </c>
      <c r="X18" s="118">
        <f>IF(Data!AG104=3,((ROUND(Q18/10,0.1))+(ROUND(R18/10,0.1))),V18-W18)</f>
        <v>450</v>
      </c>
      <c r="Y18" s="118">
        <f>IF(Data!AG104=3,V18-W18-X18,0)</f>
        <v>0</v>
      </c>
      <c r="Z18" s="118">
        <f t="shared" si="9"/>
        <v>0</v>
      </c>
    </row>
    <row r="19" spans="1:26" s="173" customFormat="1" ht="12" customHeight="1">
      <c r="A19" s="172">
        <v>15</v>
      </c>
      <c r="B19" s="227" t="str">
        <f>PROGRAMME!F35</f>
        <v>April-11</v>
      </c>
      <c r="C19" s="118">
        <f>PROGRAMME!S35</f>
        <v>10600</v>
      </c>
      <c r="D19" s="118">
        <f t="shared" si="18"/>
        <v>3176</v>
      </c>
      <c r="E19" s="118">
        <f>ROUND(C19*PROGRAMME!V35%,0.1)</f>
        <v>2120</v>
      </c>
      <c r="F19" s="118"/>
      <c r="G19" s="118">
        <f>IF(C19=0,0,IF(Data!D73=2,0,900))</f>
        <v>0</v>
      </c>
      <c r="H19" s="118">
        <f t="shared" si="12"/>
        <v>15896</v>
      </c>
      <c r="I19" s="118">
        <f>IF(Data!D73=1,0,IF(H19&gt;20000,200,IF(H19&gt;15000,150,IF(H19&gt;10000,100,IF(H19&gt;6000,80,IF(H19&gt;5000,60,0))))))</f>
        <v>150</v>
      </c>
      <c r="J19" s="118">
        <f>PROGRAMME!T35</f>
        <v>10300</v>
      </c>
      <c r="K19" s="118">
        <f t="shared" si="19"/>
        <v>3086</v>
      </c>
      <c r="L19" s="118">
        <f>ROUND(J19*PROGRAMME!V35%,0.1)</f>
        <v>2060</v>
      </c>
      <c r="M19" s="118"/>
      <c r="N19" s="118">
        <f>IF(J19=0,0,IF(Data!D73=2,0,900))</f>
        <v>0</v>
      </c>
      <c r="O19" s="118">
        <f t="shared" si="7"/>
        <v>15446</v>
      </c>
      <c r="P19" s="118">
        <f>IF(Data!D73=1,0,IF(O19&gt;20000,200,IF(O19&gt;15000,150,IF(O19&gt;10000,100,IF(O19&gt;6000,80,IF(O19&gt;5000,60,0))))))</f>
        <v>150</v>
      </c>
      <c r="Q19" s="118">
        <f t="shared" si="1"/>
        <v>300</v>
      </c>
      <c r="R19" s="118">
        <f t="shared" si="13"/>
        <v>90</v>
      </c>
      <c r="S19" s="118">
        <f t="shared" si="14"/>
        <v>60</v>
      </c>
      <c r="T19" s="118">
        <f t="shared" si="15"/>
        <v>0</v>
      </c>
      <c r="U19" s="118">
        <f t="shared" si="16"/>
        <v>0</v>
      </c>
      <c r="V19" s="118">
        <f t="shared" si="17"/>
        <v>450</v>
      </c>
      <c r="W19" s="118">
        <f t="shared" si="6"/>
        <v>0</v>
      </c>
      <c r="X19" s="118">
        <f>IF(Data!AG104=3,((ROUND(Q19/10,0.1))+(ROUND(R19/10,0.1))),V19-W19)</f>
        <v>450</v>
      </c>
      <c r="Y19" s="118">
        <f>IF(Data!AG104=3,V19-W19-X19,0)</f>
        <v>0</v>
      </c>
      <c r="Z19" s="118">
        <f t="shared" si="9"/>
        <v>0</v>
      </c>
    </row>
    <row r="20" spans="1:26" s="173" customFormat="1" ht="12" customHeight="1">
      <c r="A20" s="172">
        <v>16</v>
      </c>
      <c r="B20" s="227" t="str">
        <f>PROGRAMME!F36</f>
        <v>May-11</v>
      </c>
      <c r="C20" s="118">
        <f>PROGRAMME!S36</f>
        <v>10600</v>
      </c>
      <c r="D20" s="118">
        <f t="shared" si="18"/>
        <v>3176</v>
      </c>
      <c r="E20" s="118">
        <f>ROUND(C20*PROGRAMME!V36%,0.1)</f>
        <v>2120</v>
      </c>
      <c r="F20" s="118"/>
      <c r="G20" s="118">
        <f>IF(C20=0,0,IF(Data!D73=2,0,900))</f>
        <v>0</v>
      </c>
      <c r="H20" s="118">
        <f t="shared" si="12"/>
        <v>15896</v>
      </c>
      <c r="I20" s="118">
        <f>IF(Data!D73=1,0,IF(H20&gt;20000,200,IF(H20&gt;15000,150,IF(H20&gt;10000,100,IF(H20&gt;6000,80,IF(H20&gt;5000,60,0))))))</f>
        <v>150</v>
      </c>
      <c r="J20" s="118">
        <f>PROGRAMME!T36</f>
        <v>10300</v>
      </c>
      <c r="K20" s="118">
        <f t="shared" si="19"/>
        <v>3086</v>
      </c>
      <c r="L20" s="118">
        <f>ROUND(J20*PROGRAMME!V36%,0.1)</f>
        <v>2060</v>
      </c>
      <c r="M20" s="118"/>
      <c r="N20" s="118">
        <f>IF(J20=0,0,IF(Data!D73=2,0,900))</f>
        <v>0</v>
      </c>
      <c r="O20" s="118">
        <f t="shared" si="7"/>
        <v>15446</v>
      </c>
      <c r="P20" s="118">
        <f>IF(Data!D73=1,0,IF(O20&gt;20000,200,IF(O20&gt;15000,150,IF(O20&gt;10000,100,IF(O20&gt;6000,80,IF(O20&gt;5000,60,0))))))</f>
        <v>150</v>
      </c>
      <c r="Q20" s="118">
        <f t="shared" si="1"/>
        <v>300</v>
      </c>
      <c r="R20" s="118">
        <f t="shared" si="13"/>
        <v>90</v>
      </c>
      <c r="S20" s="118">
        <f t="shared" si="14"/>
        <v>60</v>
      </c>
      <c r="T20" s="118">
        <f t="shared" si="15"/>
        <v>0</v>
      </c>
      <c r="U20" s="118">
        <f t="shared" si="16"/>
        <v>0</v>
      </c>
      <c r="V20" s="118">
        <f t="shared" si="17"/>
        <v>450</v>
      </c>
      <c r="W20" s="118">
        <f t="shared" si="6"/>
        <v>0</v>
      </c>
      <c r="X20" s="118">
        <f>IF(Data!AG104=3,((ROUND(Q20/10,0.1))+(ROUND(R20/10,0.1))),V20-W20)</f>
        <v>450</v>
      </c>
      <c r="Y20" s="118">
        <f>IF(Data!AG104=3,V20-W20-X20,0)</f>
        <v>0</v>
      </c>
      <c r="Z20" s="118">
        <f t="shared" si="9"/>
        <v>0</v>
      </c>
    </row>
    <row r="21" spans="1:26" s="173" customFormat="1" ht="12" customHeight="1">
      <c r="A21" s="172">
        <v>17</v>
      </c>
      <c r="B21" s="227" t="str">
        <f>PROGRAMME!F37</f>
        <v>June-11</v>
      </c>
      <c r="C21" s="118">
        <f>PROGRAMME!S37</f>
        <v>10600</v>
      </c>
      <c r="D21" s="118">
        <f t="shared" si="18"/>
        <v>3176</v>
      </c>
      <c r="E21" s="118">
        <f>ROUND(C21*PROGRAMME!V37%,0.1)</f>
        <v>2120</v>
      </c>
      <c r="F21" s="118"/>
      <c r="G21" s="118">
        <f>IF(C21=0,0,IF(Data!D73=2,0,900))</f>
        <v>0</v>
      </c>
      <c r="H21" s="118">
        <f t="shared" si="12"/>
        <v>15896</v>
      </c>
      <c r="I21" s="118">
        <f>IF(Data!D73=1,0,IF(H21&gt;20000,200,IF(H21&gt;15000,150,IF(H21&gt;10000,100,IF(H21&gt;6000,80,IF(H21&gt;5000,60,0))))))</f>
        <v>150</v>
      </c>
      <c r="J21" s="118">
        <f>PROGRAMME!T37</f>
        <v>10300</v>
      </c>
      <c r="K21" s="118">
        <f t="shared" si="19"/>
        <v>3086</v>
      </c>
      <c r="L21" s="118">
        <f>ROUND(J21*PROGRAMME!V37%,0.1)</f>
        <v>2060</v>
      </c>
      <c r="M21" s="118"/>
      <c r="N21" s="118">
        <f>IF(J21=0,0,IF(Data!D73=2,0,900))</f>
        <v>0</v>
      </c>
      <c r="O21" s="118">
        <f t="shared" si="7"/>
        <v>15446</v>
      </c>
      <c r="P21" s="118">
        <f>IF(Data!D73=1,0,IF(O21&gt;20000,200,IF(O21&gt;15000,150,IF(O21&gt;10000,100,IF(O21&gt;6000,80,IF(O21&gt;5000,60,0))))))</f>
        <v>150</v>
      </c>
      <c r="Q21" s="118">
        <f t="shared" si="1"/>
        <v>300</v>
      </c>
      <c r="R21" s="118">
        <f t="shared" si="13"/>
        <v>90</v>
      </c>
      <c r="S21" s="118">
        <f t="shared" si="14"/>
        <v>60</v>
      </c>
      <c r="T21" s="118">
        <f t="shared" si="15"/>
        <v>0</v>
      </c>
      <c r="U21" s="118">
        <f t="shared" si="16"/>
        <v>0</v>
      </c>
      <c r="V21" s="118">
        <f t="shared" si="17"/>
        <v>450</v>
      </c>
      <c r="W21" s="118">
        <f t="shared" si="6"/>
        <v>0</v>
      </c>
      <c r="X21" s="118">
        <f>IF(Data!AG104=3,((ROUND(Q21/10,0.1))+(ROUND(R21/10,0.1))),0)</f>
        <v>0</v>
      </c>
      <c r="Y21" s="118">
        <v>0</v>
      </c>
      <c r="Z21" s="118">
        <f t="shared" si="9"/>
        <v>450</v>
      </c>
    </row>
    <row r="22" spans="1:26" s="173" customFormat="1" ht="12" customHeight="1">
      <c r="A22" s="172">
        <v>18</v>
      </c>
      <c r="B22" s="227" t="str">
        <f>PROGRAMME!F38</f>
        <v>July-11</v>
      </c>
      <c r="C22" s="118">
        <f>PROGRAMME!S38</f>
        <v>0</v>
      </c>
      <c r="D22" s="118">
        <f t="shared" si="18"/>
        <v>0</v>
      </c>
      <c r="E22" s="118">
        <f>ROUND(C22*PROGRAMME!V38%,0.1)</f>
        <v>0</v>
      </c>
      <c r="F22" s="118"/>
      <c r="G22" s="118">
        <f>IF(C22=0,0,IF(Data!D73=2,0,900))</f>
        <v>0</v>
      </c>
      <c r="H22" s="118">
        <f t="shared" si="12"/>
        <v>0</v>
      </c>
      <c r="I22" s="118">
        <f>IF(Data!D73=1,0,IF(H22&gt;20000,200,IF(H22&gt;15000,150,IF(H22&gt;10000,100,IF(H22&gt;6000,80,IF(H22&gt;5000,60,0))))))</f>
        <v>0</v>
      </c>
      <c r="J22" s="118">
        <f>PROGRAMME!T38</f>
        <v>0</v>
      </c>
      <c r="K22" s="118">
        <f t="shared" si="19"/>
        <v>0</v>
      </c>
      <c r="L22" s="118">
        <f>ROUND(J22*PROGRAMME!V38%,0.1)</f>
        <v>0</v>
      </c>
      <c r="M22" s="118"/>
      <c r="N22" s="118">
        <f>IF(J22=0,0,IF(Data!D73=2,0,900))</f>
        <v>0</v>
      </c>
      <c r="O22" s="118">
        <f t="shared" si="7"/>
        <v>0</v>
      </c>
      <c r="P22" s="118">
        <f>IF(Data!D73=1,0,IF(O22&gt;20000,200,IF(O22&gt;15000,150,IF(O22&gt;10000,100,IF(O22&gt;6000,80,IF(O22&gt;5000,60,0))))))</f>
        <v>0</v>
      </c>
      <c r="Q22" s="118">
        <f t="shared" si="1"/>
        <v>0</v>
      </c>
      <c r="R22" s="118">
        <f t="shared" si="13"/>
        <v>0</v>
      </c>
      <c r="S22" s="118">
        <f t="shared" si="14"/>
        <v>0</v>
      </c>
      <c r="T22" s="118">
        <f t="shared" si="15"/>
        <v>0</v>
      </c>
      <c r="U22" s="118">
        <f t="shared" si="16"/>
        <v>0</v>
      </c>
      <c r="V22" s="118">
        <f t="shared" si="17"/>
        <v>0</v>
      </c>
      <c r="W22" s="118">
        <f t="shared" si="6"/>
        <v>0</v>
      </c>
      <c r="X22" s="118">
        <f>IF(Data!AG104=3,((ROUND(Q22/10,0.1))+(ROUND(R22/10,0.1))),0)</f>
        <v>0</v>
      </c>
      <c r="Y22" s="118">
        <v>0</v>
      </c>
      <c r="Z22" s="118">
        <f>V22-W22-X22-Y22</f>
        <v>0</v>
      </c>
    </row>
    <row r="23" spans="1:26" s="173" customFormat="1" ht="12" customHeight="1">
      <c r="A23" s="172">
        <v>19</v>
      </c>
      <c r="B23" s="227" t="str">
        <f>PROGRAMME!F39</f>
        <v>August-11</v>
      </c>
      <c r="C23" s="118">
        <f>PROGRAMME!S39</f>
        <v>0</v>
      </c>
      <c r="D23" s="118">
        <f t="shared" si="18"/>
        <v>0</v>
      </c>
      <c r="E23" s="118">
        <f>ROUND(C23*PROGRAMME!V39%,0.1)</f>
        <v>0</v>
      </c>
      <c r="F23" s="118"/>
      <c r="G23" s="118">
        <f>IF(C23=0,0,IF(Data!D73=2,0,900))</f>
        <v>0</v>
      </c>
      <c r="H23" s="118">
        <f t="shared" si="12"/>
        <v>0</v>
      </c>
      <c r="I23" s="118">
        <f>IF(Data!D73=1,0,IF(H23&gt;20000,200,IF(H23&gt;15000,150,IF(H23&gt;10000,100,IF(H23&gt;6000,80,IF(H23&gt;5000,60,0))))))</f>
        <v>0</v>
      </c>
      <c r="J23" s="118">
        <f>PROGRAMME!T39</f>
        <v>0</v>
      </c>
      <c r="K23" s="118">
        <f t="shared" si="19"/>
        <v>0</v>
      </c>
      <c r="L23" s="118">
        <f>ROUND(J23*PROGRAMME!V39%,0.1)</f>
        <v>0</v>
      </c>
      <c r="M23" s="118"/>
      <c r="N23" s="118">
        <f>IF(J23=0,0,IF(Data!D73=2,0,900))</f>
        <v>0</v>
      </c>
      <c r="O23" s="118">
        <f t="shared" si="7"/>
        <v>0</v>
      </c>
      <c r="P23" s="118">
        <f>IF(Data!D73=1,0,IF(O23&gt;20000,200,IF(O23&gt;15000,150,IF(O23&gt;10000,100,IF(O23&gt;6000,80,IF(O23&gt;5000,60,0))))))</f>
        <v>0</v>
      </c>
      <c r="Q23" s="118">
        <f t="shared" si="1"/>
        <v>0</v>
      </c>
      <c r="R23" s="118">
        <f t="shared" si="13"/>
        <v>0</v>
      </c>
      <c r="S23" s="118">
        <f t="shared" si="14"/>
        <v>0</v>
      </c>
      <c r="T23" s="118">
        <f t="shared" si="15"/>
        <v>0</v>
      </c>
      <c r="U23" s="118">
        <f t="shared" si="16"/>
        <v>0</v>
      </c>
      <c r="V23" s="118">
        <f t="shared" si="17"/>
        <v>0</v>
      </c>
      <c r="W23" s="118">
        <f t="shared" si="6"/>
        <v>0</v>
      </c>
      <c r="X23" s="118">
        <f>IF(Data!AG104=3,((ROUND(Q23/10,0.1))+(ROUND(R23/10,0.1))),0)</f>
        <v>0</v>
      </c>
      <c r="Y23" s="118">
        <v>0</v>
      </c>
      <c r="Z23" s="118">
        <f t="shared" si="9"/>
        <v>0</v>
      </c>
    </row>
    <row r="24" spans="1:26" s="173" customFormat="1" ht="12" customHeight="1">
      <c r="A24" s="172">
        <v>20</v>
      </c>
      <c r="B24" s="227" t="str">
        <f>PROGRAMME!F40</f>
        <v>September-11</v>
      </c>
      <c r="C24" s="118">
        <f>PROGRAMME!S40</f>
        <v>0</v>
      </c>
      <c r="D24" s="118">
        <f t="shared" si="18"/>
        <v>0</v>
      </c>
      <c r="E24" s="118">
        <f>ROUND(C24*PROGRAMME!V40%,0.1)</f>
        <v>0</v>
      </c>
      <c r="F24" s="118"/>
      <c r="G24" s="118">
        <f>IF(C24=0,0,IF(Data!D73=2,0,900))</f>
        <v>0</v>
      </c>
      <c r="H24" s="118">
        <f t="shared" si="12"/>
        <v>0</v>
      </c>
      <c r="I24" s="118">
        <f>IF(Data!D73=1,0,IF(H24&gt;20000,200,IF(H24&gt;15000,150,IF(H24&gt;10000,100,IF(H24&gt;6000,80,IF(H24&gt;5000,60,0))))))</f>
        <v>0</v>
      </c>
      <c r="J24" s="118">
        <f>PROGRAMME!T40</f>
        <v>0</v>
      </c>
      <c r="K24" s="118">
        <f t="shared" si="19"/>
        <v>0</v>
      </c>
      <c r="L24" s="118">
        <f>ROUND(J24*PROGRAMME!V40%,0.1)</f>
        <v>0</v>
      </c>
      <c r="M24" s="118"/>
      <c r="N24" s="118">
        <f>IF(J24=0,0,IF(Data!D73=2,0,900))</f>
        <v>0</v>
      </c>
      <c r="O24" s="118">
        <f t="shared" si="7"/>
        <v>0</v>
      </c>
      <c r="P24" s="118">
        <f>IF(Data!D73=1,0,IF(O24&gt;20000,200,IF(O24&gt;15000,150,IF(O24&gt;10000,100,IF(O24&gt;6000,80,IF(O24&gt;5000,60,0))))))</f>
        <v>0</v>
      </c>
      <c r="Q24" s="118">
        <f t="shared" si="1"/>
        <v>0</v>
      </c>
      <c r="R24" s="118">
        <f t="shared" si="13"/>
        <v>0</v>
      </c>
      <c r="S24" s="118">
        <f t="shared" si="14"/>
        <v>0</v>
      </c>
      <c r="T24" s="118">
        <f t="shared" si="15"/>
        <v>0</v>
      </c>
      <c r="U24" s="118">
        <f t="shared" si="16"/>
        <v>0</v>
      </c>
      <c r="V24" s="118">
        <f t="shared" si="17"/>
        <v>0</v>
      </c>
      <c r="W24" s="118">
        <f t="shared" si="6"/>
        <v>0</v>
      </c>
      <c r="X24" s="118">
        <f>IF(Data!AG104=3,((ROUND(Q24/10,0.1))+(ROUND(R24/10,0.1))),0)</f>
        <v>0</v>
      </c>
      <c r="Y24" s="118">
        <v>0</v>
      </c>
      <c r="Z24" s="118">
        <f t="shared" si="9"/>
        <v>0</v>
      </c>
    </row>
    <row r="25" spans="1:26" s="173" customFormat="1" ht="12" customHeight="1">
      <c r="A25" s="172">
        <v>21</v>
      </c>
      <c r="B25" s="227" t="str">
        <f>PROGRAMME!F41</f>
        <v>October-11</v>
      </c>
      <c r="C25" s="118">
        <f>PROGRAMME!S41</f>
        <v>0</v>
      </c>
      <c r="D25" s="118">
        <f t="shared" si="18"/>
        <v>0</v>
      </c>
      <c r="E25" s="118">
        <f>ROUND(C25*PROGRAMME!V41%,0.1)</f>
        <v>0</v>
      </c>
      <c r="F25" s="118"/>
      <c r="G25" s="118">
        <f>IF(C25=0,0,IF(Data!D73=2,0,900))</f>
        <v>0</v>
      </c>
      <c r="H25" s="118">
        <f t="shared" si="12"/>
        <v>0</v>
      </c>
      <c r="I25" s="118">
        <f>IF(Data!D73=1,0,IF(H25&gt;20000,200,IF(H25&gt;15000,150,IF(H25&gt;10000,100,IF(H25&gt;6000,80,IF(H25&gt;5000,60,0))))))</f>
        <v>0</v>
      </c>
      <c r="J25" s="118">
        <f>PROGRAMME!T41</f>
        <v>0</v>
      </c>
      <c r="K25" s="118">
        <f t="shared" si="19"/>
        <v>0</v>
      </c>
      <c r="L25" s="118">
        <f>ROUND(J25*PROGRAMME!V41%,0.1)</f>
        <v>0</v>
      </c>
      <c r="M25" s="118"/>
      <c r="N25" s="118">
        <f>IF(J25=0,0,IF(Data!D73=2,0,900))</f>
        <v>0</v>
      </c>
      <c r="O25" s="118">
        <f t="shared" si="7"/>
        <v>0</v>
      </c>
      <c r="P25" s="118">
        <f>IF(Data!D73=1,0,IF(O25&gt;20000,200,IF(O25&gt;15000,150,IF(O25&gt;10000,100,IF(O25&gt;6000,80,IF(O25&gt;5000,60,0))))))</f>
        <v>0</v>
      </c>
      <c r="Q25" s="118">
        <f t="shared" si="1"/>
        <v>0</v>
      </c>
      <c r="R25" s="118">
        <f t="shared" si="13"/>
        <v>0</v>
      </c>
      <c r="S25" s="118">
        <f t="shared" si="14"/>
        <v>0</v>
      </c>
      <c r="T25" s="118">
        <f t="shared" si="15"/>
        <v>0</v>
      </c>
      <c r="U25" s="118">
        <f t="shared" si="16"/>
        <v>0</v>
      </c>
      <c r="V25" s="118">
        <f t="shared" si="17"/>
        <v>0</v>
      </c>
      <c r="W25" s="118">
        <f t="shared" si="6"/>
        <v>0</v>
      </c>
      <c r="X25" s="118">
        <f>IF(Data!AG104=3,((ROUND(Q25/10,0.1))+(ROUND(R25/10,0.1))),0)</f>
        <v>0</v>
      </c>
      <c r="Y25" s="118">
        <v>0</v>
      </c>
      <c r="Z25" s="118">
        <f t="shared" si="9"/>
        <v>0</v>
      </c>
    </row>
    <row r="26" spans="1:26" s="173" customFormat="1" ht="12" customHeight="1">
      <c r="A26" s="172">
        <v>22</v>
      </c>
      <c r="B26" s="227" t="str">
        <f>PROGRAMME!F42</f>
        <v>November-11</v>
      </c>
      <c r="C26" s="118">
        <f>PROGRAMME!S42</f>
        <v>0</v>
      </c>
      <c r="D26" s="118">
        <f t="shared" si="18"/>
        <v>0</v>
      </c>
      <c r="E26" s="118">
        <f>ROUND(C26*PROGRAMME!V42%,0.1)</f>
        <v>0</v>
      </c>
      <c r="F26" s="118"/>
      <c r="G26" s="118">
        <f>IF(C26=0,0,IF(Data!D73=2,0,900))</f>
        <v>0</v>
      </c>
      <c r="H26" s="118">
        <f t="shared" si="12"/>
        <v>0</v>
      </c>
      <c r="I26" s="118">
        <f>IF(Data!D73=1,0,IF(H26&gt;20000,200,IF(H26&gt;15000,150,IF(H26&gt;10000,100,IF(H26&gt;6000,80,IF(H26&gt;5000,60,0))))))</f>
        <v>0</v>
      </c>
      <c r="J26" s="118">
        <f>PROGRAMME!T42</f>
        <v>0</v>
      </c>
      <c r="K26" s="118">
        <f t="shared" si="19"/>
        <v>0</v>
      </c>
      <c r="L26" s="118">
        <f>ROUND(J26*PROGRAMME!V42%,0.1)</f>
        <v>0</v>
      </c>
      <c r="M26" s="118"/>
      <c r="N26" s="118">
        <f>IF(J26=0,0,IF(Data!D73=2,0,900))</f>
        <v>0</v>
      </c>
      <c r="O26" s="118">
        <f t="shared" si="7"/>
        <v>0</v>
      </c>
      <c r="P26" s="118">
        <f>IF(Data!D73=1,0,IF(O26&gt;20000,200,IF(O26&gt;15000,150,IF(O26&gt;10000,100,IF(O26&gt;6000,80,IF(O26&gt;5000,60,0))))))</f>
        <v>0</v>
      </c>
      <c r="Q26" s="118">
        <f aca="true" t="shared" si="20" ref="Q26:U27">C26-J26</f>
        <v>0</v>
      </c>
      <c r="R26" s="118">
        <f t="shared" si="20"/>
        <v>0</v>
      </c>
      <c r="S26" s="118">
        <f t="shared" si="20"/>
        <v>0</v>
      </c>
      <c r="T26" s="118">
        <f t="shared" si="20"/>
        <v>0</v>
      </c>
      <c r="U26" s="118">
        <f t="shared" si="20"/>
        <v>0</v>
      </c>
      <c r="V26" s="118">
        <f>SUM(Q26:U26)</f>
        <v>0</v>
      </c>
      <c r="W26" s="118">
        <f t="shared" si="6"/>
        <v>0</v>
      </c>
      <c r="X26" s="118">
        <f>IF(Data!AG104=3,((ROUND(Q26/10,0.1))+(ROUND(R26/10,0.1))),0)</f>
        <v>0</v>
      </c>
      <c r="Y26" s="118">
        <v>0</v>
      </c>
      <c r="Z26" s="118">
        <f t="shared" si="9"/>
        <v>0</v>
      </c>
    </row>
    <row r="27" spans="1:26" s="173" customFormat="1" ht="12" customHeight="1">
      <c r="A27" s="172">
        <v>23</v>
      </c>
      <c r="B27" s="227" t="str">
        <f>PROGRAMME!F43</f>
        <v>December-11</v>
      </c>
      <c r="C27" s="118">
        <f>PROGRAMME!S43</f>
        <v>0</v>
      </c>
      <c r="D27" s="118">
        <f t="shared" si="18"/>
        <v>0</v>
      </c>
      <c r="E27" s="118">
        <f>ROUND(C27*PROGRAMME!V43%,0.1)</f>
        <v>0</v>
      </c>
      <c r="F27" s="118"/>
      <c r="G27" s="118">
        <f>IF(C27=0,0,IF(Data!D73=2,0,900))</f>
        <v>0</v>
      </c>
      <c r="H27" s="118">
        <f t="shared" si="12"/>
        <v>0</v>
      </c>
      <c r="I27" s="118">
        <f>IF(Data!D73=1,0,IF(H27&gt;20000,200,IF(H27&gt;15000,150,IF(H27&gt;10000,100,IF(H27&gt;6000,80,IF(H27&gt;5000,60,0))))))</f>
        <v>0</v>
      </c>
      <c r="J27" s="118">
        <f>PROGRAMME!T43</f>
        <v>0</v>
      </c>
      <c r="K27" s="118">
        <f t="shared" si="19"/>
        <v>0</v>
      </c>
      <c r="L27" s="118">
        <f>ROUND(J27*PROGRAMME!V43%,0.1)</f>
        <v>0</v>
      </c>
      <c r="M27" s="118"/>
      <c r="N27" s="118">
        <f>IF(J27=0,0,IF(Data!D73=2,0,900))</f>
        <v>0</v>
      </c>
      <c r="O27" s="118">
        <f t="shared" si="7"/>
        <v>0</v>
      </c>
      <c r="P27" s="118">
        <f>IF(Data!D73=1,0,IF(O27&gt;20000,200,IF(O27&gt;15000,150,IF(O27&gt;10000,100,IF(O27&gt;6000,80,IF(O27&gt;5000,60,0))))))</f>
        <v>0</v>
      </c>
      <c r="Q27" s="118">
        <f t="shared" si="20"/>
        <v>0</v>
      </c>
      <c r="R27" s="118">
        <f t="shared" si="20"/>
        <v>0</v>
      </c>
      <c r="S27" s="118">
        <f t="shared" si="20"/>
        <v>0</v>
      </c>
      <c r="T27" s="118">
        <f t="shared" si="20"/>
        <v>0</v>
      </c>
      <c r="U27" s="118">
        <f t="shared" si="20"/>
        <v>0</v>
      </c>
      <c r="V27" s="118">
        <f>SUM(Q27:U27)</f>
        <v>0</v>
      </c>
      <c r="W27" s="118">
        <f t="shared" si="6"/>
        <v>0</v>
      </c>
      <c r="X27" s="118">
        <f>IF(Data!AG104=3,((ROUND(Q27/10,0.1))+(ROUND(R27/10,0.1))),0)</f>
        <v>0</v>
      </c>
      <c r="Y27" s="118">
        <v>0</v>
      </c>
      <c r="Z27" s="118">
        <f t="shared" si="9"/>
        <v>0</v>
      </c>
    </row>
    <row r="28" spans="1:26" s="173" customFormat="1" ht="12" customHeight="1">
      <c r="A28" s="237" t="s">
        <v>231</v>
      </c>
      <c r="B28" s="118">
        <f>PROGRAMME!Q16</f>
      </c>
      <c r="C28" s="118">
        <v>0</v>
      </c>
      <c r="D28" s="118">
        <f>ROUND(C28*PROGRAMME!R18/100,0.1)</f>
        <v>0</v>
      </c>
      <c r="E28" s="118">
        <f>ROUND(C28*PROGRAMME!S18%,0.1)</f>
        <v>0</v>
      </c>
      <c r="F28" s="118"/>
      <c r="G28" s="118">
        <v>0</v>
      </c>
      <c r="H28" s="118">
        <f>SUM(C28:G28)</f>
        <v>0</v>
      </c>
      <c r="I28" s="118">
        <v>0</v>
      </c>
      <c r="J28" s="118">
        <f>PROGRAMME!S17</f>
        <v>0</v>
      </c>
      <c r="K28" s="118">
        <f>ROUND(J28*PROGRAMME!R18/100,0.1)</f>
        <v>0</v>
      </c>
      <c r="L28" s="118">
        <f>ROUND(J28*PROGRAMME!S18%,0.1)</f>
        <v>0</v>
      </c>
      <c r="M28" s="118"/>
      <c r="N28" s="118">
        <v>0</v>
      </c>
      <c r="O28" s="118">
        <f t="shared" si="7"/>
        <v>0</v>
      </c>
      <c r="P28" s="118">
        <v>0</v>
      </c>
      <c r="Q28" s="118">
        <f aca="true" t="shared" si="21" ref="Q28:U29">C28-J28</f>
        <v>0</v>
      </c>
      <c r="R28" s="118">
        <f t="shared" si="21"/>
        <v>0</v>
      </c>
      <c r="S28" s="118">
        <f t="shared" si="21"/>
        <v>0</v>
      </c>
      <c r="T28" s="118">
        <f t="shared" si="21"/>
        <v>0</v>
      </c>
      <c r="U28" s="118">
        <f t="shared" si="21"/>
        <v>0</v>
      </c>
      <c r="V28" s="118">
        <f t="shared" si="8"/>
        <v>0</v>
      </c>
      <c r="W28" s="118">
        <f t="shared" si="6"/>
        <v>0</v>
      </c>
      <c r="X28" s="118">
        <f>IF(AND(PROGRAMME!O17&lt;18,Data!AG104=3),ROUND(Q28/10,0.1)+ROUND(R28/10,0.1),IF(PROGRAMME!O17&gt;17,0,V28-W28))</f>
        <v>0</v>
      </c>
      <c r="Y28" s="118">
        <f>IF(AND(PROGRAMME!O17&lt;18,Data!AG104=3),V28-W28-X28,0)</f>
        <v>0</v>
      </c>
      <c r="Z28" s="118">
        <f t="shared" si="9"/>
        <v>0</v>
      </c>
    </row>
    <row r="29" spans="1:26" s="173" customFormat="1" ht="24" customHeight="1">
      <c r="A29" s="270" t="s">
        <v>475</v>
      </c>
      <c r="B29" s="118">
        <f>PROGRAMME!Q61</f>
      </c>
      <c r="C29" s="118">
        <f>PROGRAMME!R66</f>
        <v>0</v>
      </c>
      <c r="D29" s="118">
        <f>ROUND(C29*PROGRAMME!T66/100,0.1)</f>
        <v>0</v>
      </c>
      <c r="E29" s="118">
        <f>ROUND(C29*PROGRAMME!U66%,0.1)</f>
        <v>0</v>
      </c>
      <c r="F29" s="118"/>
      <c r="G29" s="118">
        <v>0</v>
      </c>
      <c r="H29" s="118">
        <f>SUM(C29:G29)</f>
        <v>0</v>
      </c>
      <c r="I29" s="118">
        <v>0</v>
      </c>
      <c r="J29" s="118">
        <f>PROGRAMME!S66</f>
        <v>0</v>
      </c>
      <c r="K29" s="118">
        <f>ROUND(J29*PROGRAMME!T66/100,0.1)</f>
        <v>0</v>
      </c>
      <c r="L29" s="118">
        <f>ROUND(J29*PROGRAMME!U66%,0.1)</f>
        <v>0</v>
      </c>
      <c r="M29" s="118"/>
      <c r="N29" s="118">
        <v>0</v>
      </c>
      <c r="O29" s="118">
        <f t="shared" si="7"/>
        <v>0</v>
      </c>
      <c r="P29" s="118">
        <v>0</v>
      </c>
      <c r="Q29" s="118">
        <f t="shared" si="21"/>
        <v>0</v>
      </c>
      <c r="R29" s="118">
        <f t="shared" si="21"/>
        <v>0</v>
      </c>
      <c r="S29" s="118">
        <f t="shared" si="21"/>
        <v>0</v>
      </c>
      <c r="T29" s="118">
        <f t="shared" si="21"/>
        <v>0</v>
      </c>
      <c r="U29" s="118">
        <f t="shared" si="21"/>
        <v>0</v>
      </c>
      <c r="V29" s="118">
        <f>SUM(Q29:U29)</f>
        <v>0</v>
      </c>
      <c r="W29" s="118">
        <f t="shared" si="6"/>
        <v>0</v>
      </c>
      <c r="X29" s="118">
        <f>IF(AND(PROGRAMME!O62&lt;18,Data!AG104=3),ROUND(Q29/10,0.1)+ROUND(R29/10,0.1),IF(PROGRAMME!O62&gt;17,0,V29-W29))</f>
        <v>0</v>
      </c>
      <c r="Y29" s="118">
        <f>IF(AND(PROGRAMME!O62&lt;18,Data!AG104=3),V29-W29-X29,0)</f>
        <v>0</v>
      </c>
      <c r="Z29" s="118">
        <f t="shared" si="9"/>
        <v>0</v>
      </c>
    </row>
    <row r="30" spans="1:26" s="173" customFormat="1" ht="18" customHeight="1">
      <c r="A30" s="237" t="s">
        <v>296</v>
      </c>
      <c r="B30" s="283" t="str">
        <f>PROGRAMME!L76</f>
        <v>30Days in11/10</v>
      </c>
      <c r="C30" s="118">
        <f>PROGRAMME!H76</f>
        <v>10600</v>
      </c>
      <c r="D30" s="118">
        <f>ROUND(C30*PROGRAMME!H77/100,0.1)</f>
        <v>2631</v>
      </c>
      <c r="E30" s="118">
        <f>ROUND(C30*PROGRAMME!I77%,0.1)</f>
        <v>2120</v>
      </c>
      <c r="F30" s="118"/>
      <c r="G30" s="118"/>
      <c r="H30" s="118">
        <f>SUM(C30:G30)</f>
        <v>15351</v>
      </c>
      <c r="I30" s="118">
        <v>0</v>
      </c>
      <c r="J30" s="118">
        <f>PROGRAMME!I76</f>
        <v>10300</v>
      </c>
      <c r="K30" s="118">
        <f>ROUND(J30*PROGRAMME!H77/100,0.1)</f>
        <v>2557</v>
      </c>
      <c r="L30" s="118">
        <f>ROUND(J30*PROGRAMME!I77%,0.1)</f>
        <v>2060</v>
      </c>
      <c r="M30" s="118">
        <v>0</v>
      </c>
      <c r="N30" s="118">
        <v>0</v>
      </c>
      <c r="O30" s="118">
        <f t="shared" si="7"/>
        <v>14917</v>
      </c>
      <c r="P30" s="118">
        <v>0</v>
      </c>
      <c r="Q30" s="118">
        <f aca="true" t="shared" si="22" ref="Q30:U31">C30-J30</f>
        <v>300</v>
      </c>
      <c r="R30" s="118">
        <f t="shared" si="22"/>
        <v>74</v>
      </c>
      <c r="S30" s="118">
        <f t="shared" si="22"/>
        <v>60</v>
      </c>
      <c r="T30" s="118">
        <f t="shared" si="22"/>
        <v>0</v>
      </c>
      <c r="U30" s="118">
        <f t="shared" si="22"/>
        <v>0</v>
      </c>
      <c r="V30" s="118">
        <f>SUM(Q30:U30)</f>
        <v>434</v>
      </c>
      <c r="W30" s="118">
        <f t="shared" si="6"/>
        <v>0</v>
      </c>
      <c r="X30" s="118">
        <f>IF(AND(PROGRAMME!F76&lt;18,Data!AG104=3),ROUND(Q30/10,0.1)+ROUND(R30/10,0.1),IF(PROGRAMME!O76&gt;17,0,V30-W30))</f>
        <v>434</v>
      </c>
      <c r="Y30" s="118">
        <f>IF(AND(PROGRAMME!F76&lt;18,Data!AG104=3),V30-W30-X30,0)</f>
        <v>0</v>
      </c>
      <c r="Z30" s="118">
        <f t="shared" si="9"/>
        <v>0</v>
      </c>
    </row>
    <row r="31" spans="1:26" s="173" customFormat="1" ht="17.25" customHeight="1">
      <c r="A31" s="237" t="s">
        <v>296</v>
      </c>
      <c r="B31" s="283" t="str">
        <f>PROGRAMME!L108</f>
        <v>Not Availed</v>
      </c>
      <c r="C31" s="118">
        <f>PROGRAMME!H108</f>
        <v>0</v>
      </c>
      <c r="D31" s="118">
        <f>ROUND(C31*PROGRAMME!H109/100,0.1)</f>
        <v>0</v>
      </c>
      <c r="E31" s="118">
        <f>ROUND(C31*PROGRAMME!I109%,0.1)</f>
        <v>0</v>
      </c>
      <c r="F31" s="118"/>
      <c r="G31" s="118">
        <v>0</v>
      </c>
      <c r="H31" s="118">
        <f>SUM(C31:G31)</f>
        <v>0</v>
      </c>
      <c r="I31" s="118">
        <v>0</v>
      </c>
      <c r="J31" s="118">
        <f>PROGRAMME!I108</f>
        <v>0</v>
      </c>
      <c r="K31" s="118">
        <f>ROUND(J31*PROGRAMME!H109/100,0.1)</f>
        <v>0</v>
      </c>
      <c r="L31" s="118">
        <f>ROUND(J31*PROGRAMME!I109%,0.1)</f>
        <v>0</v>
      </c>
      <c r="M31" s="118"/>
      <c r="N31" s="118">
        <v>0</v>
      </c>
      <c r="O31" s="118">
        <f>SUM(J31:N31)</f>
        <v>0</v>
      </c>
      <c r="P31" s="118">
        <v>0</v>
      </c>
      <c r="Q31" s="118">
        <f t="shared" si="22"/>
        <v>0</v>
      </c>
      <c r="R31" s="118">
        <f t="shared" si="22"/>
        <v>0</v>
      </c>
      <c r="S31" s="118">
        <f t="shared" si="22"/>
        <v>0</v>
      </c>
      <c r="T31" s="118">
        <f t="shared" si="22"/>
        <v>0</v>
      </c>
      <c r="U31" s="118">
        <f t="shared" si="22"/>
        <v>0</v>
      </c>
      <c r="V31" s="118">
        <f>SUM(Q31:U31)</f>
        <v>0</v>
      </c>
      <c r="W31" s="118">
        <f t="shared" si="6"/>
        <v>0</v>
      </c>
      <c r="X31" s="118">
        <f>IF(AND(PROGRAMME!F107&lt;18,Data!AG104=3),ROUND(Q31/10,0.1)+ROUND(R31/10,0.1),IF(PROGRAMME!F107&gt;17,0,V31-W31))</f>
        <v>0</v>
      </c>
      <c r="Y31" s="118">
        <f>IF(AND(PROGRAMME!F107&lt;18,Data!AG104=3),V31-W31-X31,0)</f>
        <v>0</v>
      </c>
      <c r="Z31" s="118">
        <f t="shared" si="9"/>
        <v>0</v>
      </c>
    </row>
    <row r="32" spans="1:26" s="175" customFormat="1" ht="24" customHeight="1">
      <c r="A32" s="616" t="s">
        <v>2</v>
      </c>
      <c r="B32" s="617"/>
      <c r="C32" s="174">
        <f>SUM(C5:C31)</f>
        <v>188400</v>
      </c>
      <c r="D32" s="174">
        <f aca="true" t="shared" si="23" ref="D32:Y32">SUM(D5:D31)</f>
        <v>45626</v>
      </c>
      <c r="E32" s="174">
        <f t="shared" si="23"/>
        <v>37680</v>
      </c>
      <c r="F32" s="174">
        <f t="shared" si="23"/>
        <v>0</v>
      </c>
      <c r="G32" s="174">
        <f t="shared" si="23"/>
        <v>0</v>
      </c>
      <c r="H32" s="174">
        <f t="shared" si="23"/>
        <v>271706</v>
      </c>
      <c r="I32" s="174">
        <f t="shared" si="23"/>
        <v>2150</v>
      </c>
      <c r="J32" s="174">
        <f t="shared" si="23"/>
        <v>183160</v>
      </c>
      <c r="K32" s="174">
        <f t="shared" si="23"/>
        <v>44355</v>
      </c>
      <c r="L32" s="174">
        <f t="shared" si="23"/>
        <v>36632</v>
      </c>
      <c r="M32" s="174">
        <f t="shared" si="23"/>
        <v>0</v>
      </c>
      <c r="N32" s="174">
        <f t="shared" si="23"/>
        <v>0</v>
      </c>
      <c r="O32" s="174">
        <f t="shared" si="23"/>
        <v>264147</v>
      </c>
      <c r="P32" s="174">
        <f t="shared" si="23"/>
        <v>2000</v>
      </c>
      <c r="Q32" s="174">
        <f t="shared" si="23"/>
        <v>5240</v>
      </c>
      <c r="R32" s="174">
        <f t="shared" si="23"/>
        <v>1271</v>
      </c>
      <c r="S32" s="174">
        <f t="shared" si="23"/>
        <v>1048</v>
      </c>
      <c r="T32" s="174">
        <f t="shared" si="23"/>
        <v>0</v>
      </c>
      <c r="U32" s="174">
        <f t="shared" si="23"/>
        <v>0</v>
      </c>
      <c r="V32" s="174">
        <f t="shared" si="23"/>
        <v>7559</v>
      </c>
      <c r="W32" s="174">
        <f t="shared" si="23"/>
        <v>150</v>
      </c>
      <c r="X32" s="174">
        <f t="shared" si="23"/>
        <v>6959</v>
      </c>
      <c r="Y32" s="174">
        <f t="shared" si="23"/>
        <v>0</v>
      </c>
      <c r="Z32" s="174">
        <f>SUM(Z5:Z31)</f>
        <v>450</v>
      </c>
    </row>
    <row r="33" spans="2:32" s="176" customFormat="1" ht="9.75" customHeight="1">
      <c r="B33" s="177"/>
      <c r="J33" s="178"/>
      <c r="W33" s="179"/>
      <c r="X33" s="179"/>
      <c r="Y33" s="179"/>
      <c r="Z33" s="179"/>
      <c r="AE33" s="180"/>
      <c r="AF33" s="180"/>
    </row>
    <row r="34" spans="1:32" s="176" customFormat="1" ht="24" customHeight="1">
      <c r="A34" s="181" t="s">
        <v>199</v>
      </c>
      <c r="B34" s="177"/>
      <c r="G34" s="182"/>
      <c r="J34" s="183"/>
      <c r="P34" s="607" t="str">
        <f>PROGRAMME!B397</f>
        <v>Pass Per Rs.450/- (Four Hundred and Fifty rupees only)</v>
      </c>
      <c r="Q34" s="607"/>
      <c r="R34" s="607"/>
      <c r="S34" s="607"/>
      <c r="T34" s="607"/>
      <c r="U34" s="607"/>
      <c r="V34" s="607"/>
      <c r="W34" s="607"/>
      <c r="X34" s="607"/>
      <c r="Y34" s="607"/>
      <c r="Z34" s="607"/>
      <c r="AE34" s="180"/>
      <c r="AF34" s="180"/>
    </row>
    <row r="35" spans="1:32" s="176" customFormat="1" ht="24" customHeight="1">
      <c r="A35" s="608" t="s">
        <v>200</v>
      </c>
      <c r="B35" s="608"/>
      <c r="C35" s="608"/>
      <c r="D35" s="608"/>
      <c r="E35" s="608"/>
      <c r="F35" s="184"/>
      <c r="G35" s="619"/>
      <c r="H35" s="619"/>
      <c r="I35" s="619"/>
      <c r="J35" s="619"/>
      <c r="K35" s="619"/>
      <c r="L35" s="619"/>
      <c r="M35" s="619"/>
      <c r="N35" s="619"/>
      <c r="P35" s="607"/>
      <c r="Q35" s="607"/>
      <c r="R35" s="607"/>
      <c r="S35" s="607"/>
      <c r="T35" s="607"/>
      <c r="U35" s="607"/>
      <c r="V35" s="607"/>
      <c r="W35" s="607"/>
      <c r="X35" s="607"/>
      <c r="Y35" s="607"/>
      <c r="Z35" s="607"/>
      <c r="AE35" s="180"/>
      <c r="AF35" s="180"/>
    </row>
    <row r="36" spans="1:32" s="176" customFormat="1" ht="15" customHeight="1">
      <c r="A36" s="608"/>
      <c r="B36" s="608"/>
      <c r="C36" s="608"/>
      <c r="D36" s="608"/>
      <c r="E36" s="608"/>
      <c r="F36" s="184"/>
      <c r="G36" s="619"/>
      <c r="H36" s="619"/>
      <c r="I36" s="619"/>
      <c r="J36" s="619"/>
      <c r="K36" s="619"/>
      <c r="L36" s="619"/>
      <c r="M36" s="619"/>
      <c r="N36" s="619"/>
      <c r="Q36" s="184"/>
      <c r="R36" s="184"/>
      <c r="S36" s="184"/>
      <c r="T36" s="184"/>
      <c r="U36" s="184"/>
      <c r="V36" s="184"/>
      <c r="W36" s="184"/>
      <c r="X36" s="184"/>
      <c r="Y36" s="184"/>
      <c r="Z36" s="184"/>
      <c r="AE36" s="180"/>
      <c r="AF36" s="180"/>
    </row>
    <row r="37" spans="1:32" s="176" customFormat="1" ht="15" customHeight="1">
      <c r="A37" s="608"/>
      <c r="B37" s="608"/>
      <c r="C37" s="608"/>
      <c r="D37" s="608"/>
      <c r="E37" s="608"/>
      <c r="F37" s="184"/>
      <c r="G37" s="619"/>
      <c r="H37" s="619"/>
      <c r="I37" s="619"/>
      <c r="J37" s="619"/>
      <c r="K37" s="619"/>
      <c r="L37" s="619"/>
      <c r="M37" s="619"/>
      <c r="N37" s="619"/>
      <c r="Q37" s="171"/>
      <c r="R37" s="171"/>
      <c r="S37" s="171"/>
      <c r="T37" s="171"/>
      <c r="U37" s="171"/>
      <c r="V37" s="171"/>
      <c r="W37" s="185"/>
      <c r="X37" s="185"/>
      <c r="Y37" s="185"/>
      <c r="Z37" s="185"/>
      <c r="AE37" s="180"/>
      <c r="AF37" s="180"/>
    </row>
    <row r="38" spans="10:32" s="186" customFormat="1" ht="12.75">
      <c r="J38" s="187"/>
      <c r="P38" s="604" t="s">
        <v>188</v>
      </c>
      <c r="Q38" s="604"/>
      <c r="R38" s="604"/>
      <c r="S38" s="604"/>
      <c r="T38" s="604"/>
      <c r="U38" s="604"/>
      <c r="V38" s="604"/>
      <c r="W38" s="604"/>
      <c r="X38" s="604"/>
      <c r="Y38" s="604"/>
      <c r="Z38" s="604"/>
      <c r="AE38" s="189"/>
      <c r="AF38" s="189"/>
    </row>
    <row r="39" spans="1:32" s="186" customFormat="1" ht="12.75">
      <c r="A39" s="604" t="s">
        <v>188</v>
      </c>
      <c r="B39" s="604"/>
      <c r="C39" s="604"/>
      <c r="D39" s="604"/>
      <c r="E39" s="604"/>
      <c r="J39" s="188"/>
      <c r="K39" s="188"/>
      <c r="AE39" s="189"/>
      <c r="AF39" s="189"/>
    </row>
    <row r="40" ht="15.75">
      <c r="D40" s="114"/>
    </row>
    <row r="41" ht="16.5" thickBot="1"/>
    <row r="42" spans="1:20" ht="13.5" customHeight="1" thickBot="1">
      <c r="A42" s="609" t="s">
        <v>225</v>
      </c>
      <c r="B42" s="610"/>
      <c r="C42" s="610"/>
      <c r="D42" s="610"/>
      <c r="E42" s="610"/>
      <c r="F42" s="610"/>
      <c r="G42" s="610"/>
      <c r="H42" s="610"/>
      <c r="I42" s="610"/>
      <c r="J42" s="610"/>
      <c r="K42" s="611"/>
      <c r="O42" s="114"/>
      <c r="P42" s="114"/>
      <c r="Q42" s="114"/>
      <c r="R42" s="114"/>
      <c r="S42" s="114"/>
      <c r="T42" s="114"/>
    </row>
    <row r="43" spans="15:20" ht="15.75">
      <c r="O43" s="114"/>
      <c r="P43" s="114"/>
      <c r="Q43" s="114"/>
      <c r="R43" s="114"/>
      <c r="S43" s="114"/>
      <c r="T43" s="114"/>
    </row>
    <row r="44" spans="15:20" ht="15.75">
      <c r="O44" s="114"/>
      <c r="P44" s="114"/>
      <c r="Q44" s="114"/>
      <c r="R44" s="114"/>
      <c r="S44" s="114"/>
      <c r="T44" s="114"/>
    </row>
    <row r="45" spans="15:20" ht="15.75">
      <c r="O45" s="114"/>
      <c r="P45" s="114"/>
      <c r="Q45" s="114"/>
      <c r="R45" s="114"/>
      <c r="S45" s="114"/>
      <c r="T45" s="114"/>
    </row>
    <row r="46" spans="15:20" ht="15.75">
      <c r="O46" s="114"/>
      <c r="P46" s="114"/>
      <c r="Q46" s="114"/>
      <c r="R46" s="114"/>
      <c r="S46" s="114"/>
      <c r="T46" s="114"/>
    </row>
    <row r="47" spans="15:20" ht="15.75">
      <c r="O47" s="114"/>
      <c r="P47" s="114"/>
      <c r="Q47" s="114"/>
      <c r="R47" s="114"/>
      <c r="S47" s="114"/>
      <c r="T47" s="114"/>
    </row>
    <row r="48" spans="15:20" ht="15.75">
      <c r="O48" s="114"/>
      <c r="P48" s="114"/>
      <c r="Q48" s="114"/>
      <c r="R48" s="114"/>
      <c r="S48" s="114"/>
      <c r="T48" s="114"/>
    </row>
    <row r="49" spans="15:20" ht="15.75">
      <c r="O49" s="114"/>
      <c r="P49" s="114"/>
      <c r="Q49" s="114"/>
      <c r="R49" s="114"/>
      <c r="S49" s="114"/>
      <c r="T49" s="114"/>
    </row>
    <row r="50" spans="15:20" ht="15.75">
      <c r="O50" s="114"/>
      <c r="P50" s="114"/>
      <c r="Q50" s="114"/>
      <c r="R50" s="114"/>
      <c r="S50" s="114"/>
      <c r="T50" s="114"/>
    </row>
    <row r="51" spans="15:20" ht="15.75">
      <c r="O51" s="114"/>
      <c r="P51" s="114"/>
      <c r="Q51" s="114"/>
      <c r="R51" s="114"/>
      <c r="S51" s="114"/>
      <c r="T51" s="114"/>
    </row>
  </sheetData>
  <sheetProtection password="D7F0" sheet="1" insertColumns="0" insertRows="0" deleteRows="0" selectLockedCells="1"/>
  <protectedRanges>
    <protectedRange sqref="A1:Z39" name="Range1"/>
  </protectedRanges>
  <mergeCells count="21">
    <mergeCell ref="A1:Z1"/>
    <mergeCell ref="Y3:Y4"/>
    <mergeCell ref="G35:N37"/>
    <mergeCell ref="Z3:Z4"/>
    <mergeCell ref="A42:K42"/>
    <mergeCell ref="Q3:V3"/>
    <mergeCell ref="A3:A4"/>
    <mergeCell ref="B3:B4"/>
    <mergeCell ref="C3:H3"/>
    <mergeCell ref="X3:X4"/>
    <mergeCell ref="P38:Z38"/>
    <mergeCell ref="I3:I4"/>
    <mergeCell ref="A32:B32"/>
    <mergeCell ref="A35:E37"/>
    <mergeCell ref="J3:O3"/>
    <mergeCell ref="A39:E39"/>
    <mergeCell ref="W3:W4"/>
    <mergeCell ref="P3:P4"/>
    <mergeCell ref="P34:Z35"/>
  </mergeCells>
  <printOptions horizontalCentered="1" verticalCentered="1"/>
  <pageMargins left="0.5" right="0.5" top="0.39" bottom="0.32" header="0" footer="0"/>
  <pageSetup horizontalDpi="180" verticalDpi="180" orientation="landscape" paperSize="5" scale="90" r:id="rId1"/>
</worksheet>
</file>

<file path=xl/worksheets/sheet5.xml><?xml version="1.0" encoding="utf-8"?>
<worksheet xmlns="http://schemas.openxmlformats.org/spreadsheetml/2006/main" xmlns:r="http://schemas.openxmlformats.org/officeDocument/2006/relationships">
  <dimension ref="A1:AK58"/>
  <sheetViews>
    <sheetView showGridLines="0" zoomScalePageLayoutView="0" workbookViewId="0" topLeftCell="A1">
      <selection activeCell="AI9" sqref="AI9:AK10"/>
    </sheetView>
  </sheetViews>
  <sheetFormatPr defaultColWidth="9.33203125" defaultRowHeight="12.75"/>
  <cols>
    <col min="1" max="1" width="1.3359375" style="50" customWidth="1"/>
    <col min="2" max="2" width="10.5" style="50" customWidth="1"/>
    <col min="3" max="3" width="14.66015625" style="50" customWidth="1"/>
    <col min="4" max="4" width="5.16015625" style="50" customWidth="1"/>
    <col min="5" max="5" width="5.83203125" style="50" customWidth="1"/>
    <col min="6" max="6" width="5.5" style="50" customWidth="1"/>
    <col min="7" max="7" width="5.33203125" style="50" customWidth="1"/>
    <col min="8" max="8" width="4.5" style="50" customWidth="1"/>
    <col min="9" max="9" width="11.33203125" style="50" customWidth="1"/>
    <col min="10" max="10" width="4.5" style="50" customWidth="1"/>
    <col min="11" max="11" width="2.33203125" style="50" customWidth="1"/>
    <col min="12" max="12" width="3.83203125" style="50" customWidth="1"/>
    <col min="13" max="13" width="2.66015625" style="50" hidden="1" customWidth="1"/>
    <col min="14" max="14" width="4.5" style="50" customWidth="1"/>
    <col min="15" max="15" width="2.33203125" style="50" hidden="1" customWidth="1"/>
    <col min="16" max="16" width="18.83203125" style="50" customWidth="1"/>
    <col min="17" max="17" width="3.16015625" style="50" customWidth="1"/>
    <col min="18" max="18" width="22" style="50" customWidth="1"/>
    <col min="19" max="19" width="3.83203125" style="50" customWidth="1"/>
    <col min="20" max="20" width="12.16015625" style="50" customWidth="1"/>
    <col min="21" max="21" width="4.33203125" style="50" customWidth="1"/>
    <col min="22" max="22" width="4.16015625" style="50" customWidth="1"/>
    <col min="23" max="23" width="4.66015625" style="50" customWidth="1"/>
    <col min="24" max="24" width="3.83203125" style="50" customWidth="1"/>
    <col min="25" max="25" width="4.16015625" style="50" customWidth="1"/>
    <col min="26" max="26" width="3.83203125" style="50" customWidth="1"/>
    <col min="27" max="28" width="4.33203125" style="50" customWidth="1"/>
    <col min="29" max="29" width="3.83203125" style="50" customWidth="1"/>
    <col min="30" max="30" width="5.66015625" style="50" customWidth="1"/>
    <col min="31" max="31" width="1.171875" style="50" customWidth="1"/>
    <col min="32" max="32" width="0.4921875" style="50" customWidth="1"/>
    <col min="33" max="33" width="4" style="50" customWidth="1"/>
    <col min="34" max="34" width="20.5" style="50" customWidth="1"/>
    <col min="35" max="35" width="4.5" style="50" customWidth="1"/>
    <col min="36" max="36" width="3.16015625" style="50" customWidth="1"/>
    <col min="37" max="37" width="13.33203125" style="50" customWidth="1"/>
    <col min="38" max="38" width="1.171875" style="50" customWidth="1"/>
    <col min="39" max="16384" width="9.33203125" style="50" customWidth="1"/>
  </cols>
  <sheetData>
    <row r="1" spans="1:37" ht="13.5" customHeight="1">
      <c r="A1" s="652"/>
      <c r="B1" s="652"/>
      <c r="C1" s="652"/>
      <c r="D1" s="652"/>
      <c r="E1" s="652"/>
      <c r="F1" s="652"/>
      <c r="G1" s="652"/>
      <c r="H1" s="652"/>
      <c r="I1" s="652"/>
      <c r="J1" s="652"/>
      <c r="K1" s="652"/>
      <c r="L1" s="652"/>
      <c r="M1" s="652"/>
      <c r="N1" s="652"/>
      <c r="O1" s="652"/>
      <c r="P1" s="652"/>
      <c r="Q1" s="652"/>
      <c r="R1" s="27"/>
      <c r="S1" s="27"/>
      <c r="T1" s="621" t="str">
        <f>'47 In'!A1</f>
        <v>SG Increment Arrears of Sri. G.Ravinder Reddy, Surveyar, AD, Mineing </v>
      </c>
      <c r="U1" s="621"/>
      <c r="V1" s="621"/>
      <c r="W1" s="621"/>
      <c r="X1" s="621"/>
      <c r="Y1" s="621"/>
      <c r="Z1" s="621"/>
      <c r="AA1" s="621"/>
      <c r="AB1" s="621"/>
      <c r="AC1" s="621"/>
      <c r="AD1" s="621"/>
      <c r="AE1" s="621"/>
      <c r="AF1" s="621"/>
      <c r="AG1" s="621"/>
      <c r="AH1" s="621"/>
      <c r="AI1" s="621"/>
      <c r="AJ1" s="621"/>
      <c r="AK1" s="621"/>
    </row>
    <row r="2" spans="1:37" ht="13.5" customHeight="1">
      <c r="A2" s="51" t="s">
        <v>59</v>
      </c>
      <c r="B2" s="51"/>
      <c r="C2" s="51"/>
      <c r="I2" s="653"/>
      <c r="J2" s="653"/>
      <c r="K2" s="653"/>
      <c r="L2" s="653"/>
      <c r="M2" s="653"/>
      <c r="N2" s="653"/>
      <c r="T2" s="621"/>
      <c r="U2" s="621"/>
      <c r="V2" s="621"/>
      <c r="W2" s="621"/>
      <c r="X2" s="621"/>
      <c r="Y2" s="621"/>
      <c r="Z2" s="621"/>
      <c r="AA2" s="621"/>
      <c r="AB2" s="621"/>
      <c r="AC2" s="621"/>
      <c r="AD2" s="621"/>
      <c r="AE2" s="621"/>
      <c r="AF2" s="621"/>
      <c r="AG2" s="621"/>
      <c r="AH2" s="621"/>
      <c r="AI2" s="621"/>
      <c r="AJ2" s="621"/>
      <c r="AK2" s="621"/>
    </row>
    <row r="3" spans="1:37" ht="16.5" customHeight="1">
      <c r="A3" s="51" t="s">
        <v>60</v>
      </c>
      <c r="B3" s="51"/>
      <c r="C3" s="51"/>
      <c r="I3" s="653"/>
      <c r="J3" s="653"/>
      <c r="K3" s="653"/>
      <c r="L3" s="653"/>
      <c r="M3" s="653"/>
      <c r="N3" s="653"/>
      <c r="T3" s="654" t="s">
        <v>61</v>
      </c>
      <c r="U3" s="654"/>
      <c r="V3" s="654"/>
      <c r="W3" s="654"/>
      <c r="X3" s="654"/>
      <c r="Y3" s="654"/>
      <c r="Z3" s="654"/>
      <c r="AA3" s="654"/>
      <c r="AB3" s="654"/>
      <c r="AC3" s="654"/>
      <c r="AD3" s="654"/>
      <c r="AE3" s="654"/>
      <c r="AF3" s="654"/>
      <c r="AG3" s="654"/>
      <c r="AH3" s="654"/>
      <c r="AI3" s="654"/>
      <c r="AJ3" s="654"/>
      <c r="AK3" s="654"/>
    </row>
    <row r="4" spans="1:37" ht="18.75" thickBot="1">
      <c r="A4" s="51" t="s">
        <v>62</v>
      </c>
      <c r="B4" s="51"/>
      <c r="C4" s="51"/>
      <c r="I4" s="656"/>
      <c r="J4" s="656"/>
      <c r="K4" s="656"/>
      <c r="L4" s="656"/>
      <c r="M4" s="656"/>
      <c r="N4" s="656"/>
      <c r="T4" s="657" t="s">
        <v>63</v>
      </c>
      <c r="U4" s="657"/>
      <c r="V4" s="657"/>
      <c r="W4" s="657"/>
      <c r="X4" s="657"/>
      <c r="Y4" s="657"/>
      <c r="Z4" s="657"/>
      <c r="AA4" s="657"/>
      <c r="AB4" s="657"/>
      <c r="AC4" s="657"/>
      <c r="AD4" s="657"/>
      <c r="AE4" s="657"/>
      <c r="AF4" s="657"/>
      <c r="AG4" s="657"/>
      <c r="AH4" s="657"/>
      <c r="AI4" s="657"/>
      <c r="AJ4" s="657"/>
      <c r="AK4" s="657"/>
    </row>
    <row r="5" spans="1:37" ht="15" customHeight="1">
      <c r="A5" s="52"/>
      <c r="S5" s="636" t="str">
        <f>IF(PROGRAMME!A384&gt;0,PROGRAMME!B386,"")</f>
        <v>(Four Hundred and Fifty one rupees only)</v>
      </c>
      <c r="T5" s="53" t="s">
        <v>64</v>
      </c>
      <c r="U5" s="54"/>
      <c r="V5" s="54"/>
      <c r="W5" s="54"/>
      <c r="X5" s="54"/>
      <c r="Y5" s="55"/>
      <c r="Z5" s="55"/>
      <c r="AA5" s="56"/>
      <c r="AB5" s="57">
        <v>0</v>
      </c>
      <c r="AC5" s="58"/>
      <c r="AD5" s="658">
        <v>2011</v>
      </c>
      <c r="AE5" s="659"/>
      <c r="AF5" s="59"/>
      <c r="AH5" s="60"/>
      <c r="AI5" s="19" t="s">
        <v>65</v>
      </c>
      <c r="AJ5" s="19"/>
      <c r="AK5" s="20"/>
    </row>
    <row r="6" spans="19:37" ht="19.5" customHeight="1">
      <c r="S6" s="636"/>
      <c r="T6" s="53" t="s">
        <v>66</v>
      </c>
      <c r="U6" s="54"/>
      <c r="V6" s="54"/>
      <c r="W6" s="54"/>
      <c r="X6" s="61"/>
      <c r="Y6" s="696" t="str">
        <f>LEFT(V8,4)</f>
        <v>2008</v>
      </c>
      <c r="Z6" s="697"/>
      <c r="AA6" s="698"/>
      <c r="AH6" s="62" t="s">
        <v>67</v>
      </c>
      <c r="AI6" s="678" t="s">
        <v>68</v>
      </c>
      <c r="AJ6" s="678"/>
      <c r="AK6" s="679"/>
    </row>
    <row r="7" spans="19:37" ht="6" customHeight="1" thickBot="1">
      <c r="S7" s="636"/>
      <c r="X7" s="63"/>
      <c r="Y7" s="63"/>
      <c r="Z7" s="63"/>
      <c r="AA7" s="63"/>
      <c r="AB7" s="64"/>
      <c r="AH7" s="65"/>
      <c r="AI7" s="66"/>
      <c r="AJ7" s="66"/>
      <c r="AK7" s="67"/>
    </row>
    <row r="8" spans="1:37" ht="15.75">
      <c r="A8" s="68"/>
      <c r="B8" s="68"/>
      <c r="C8" s="68"/>
      <c r="D8" s="68"/>
      <c r="E8" s="68"/>
      <c r="F8" s="68"/>
      <c r="G8" s="68"/>
      <c r="H8" s="68"/>
      <c r="I8" s="68"/>
      <c r="J8" s="645" t="s">
        <v>69</v>
      </c>
      <c r="K8" s="645"/>
      <c r="L8" s="645"/>
      <c r="M8" s="645"/>
      <c r="N8" s="645"/>
      <c r="O8" s="645"/>
      <c r="P8" s="645"/>
      <c r="Q8" s="64"/>
      <c r="S8" s="636"/>
      <c r="T8" s="666" t="s">
        <v>70</v>
      </c>
      <c r="U8" s="667"/>
      <c r="V8" s="661">
        <f>Data!J44</f>
        <v>20080308091</v>
      </c>
      <c r="W8" s="662"/>
      <c r="X8" s="662"/>
      <c r="Y8" s="662"/>
      <c r="Z8" s="662"/>
      <c r="AA8" s="663"/>
      <c r="AH8" s="64"/>
      <c r="AI8" s="64" t="s">
        <v>71</v>
      </c>
      <c r="AJ8" s="64"/>
      <c r="AK8" s="64" t="str">
        <f>Data!M6</f>
        <v>Nizamabad</v>
      </c>
    </row>
    <row r="9" spans="19:37" ht="12" customHeight="1">
      <c r="S9" s="636"/>
      <c r="T9" s="668" t="s">
        <v>72</v>
      </c>
      <c r="U9" s="669"/>
      <c r="V9" s="646">
        <f>Data!AJ89</f>
        <v>0</v>
      </c>
      <c r="W9" s="647"/>
      <c r="X9" s="647"/>
      <c r="Y9" s="647"/>
      <c r="Z9" s="647"/>
      <c r="AA9" s="648"/>
      <c r="AB9" s="69"/>
      <c r="AC9" s="69"/>
      <c r="AD9" s="69"/>
      <c r="AE9" s="70"/>
      <c r="AF9" s="70"/>
      <c r="AG9" s="680" t="s">
        <v>73</v>
      </c>
      <c r="AH9" s="681"/>
      <c r="AI9" s="684" t="str">
        <f>Data!AK89</f>
        <v>Kama Reddy</v>
      </c>
      <c r="AJ9" s="684"/>
      <c r="AK9" s="685"/>
    </row>
    <row r="10" spans="1:37" ht="12" customHeight="1">
      <c r="A10" s="655" t="s">
        <v>74</v>
      </c>
      <c r="B10" s="655"/>
      <c r="C10" s="71">
        <f>PROGRAMME!A384</f>
        <v>450</v>
      </c>
      <c r="D10" s="622" t="str">
        <f>PROGRAMME!B384</f>
        <v>(Four Hundred and Fifty rupees only)</v>
      </c>
      <c r="E10" s="623"/>
      <c r="F10" s="623"/>
      <c r="G10" s="623"/>
      <c r="H10" s="623"/>
      <c r="I10" s="623"/>
      <c r="J10" s="623"/>
      <c r="K10" s="623"/>
      <c r="L10" s="623"/>
      <c r="M10" s="623"/>
      <c r="N10" s="623"/>
      <c r="O10" s="623"/>
      <c r="P10" s="623"/>
      <c r="Q10" s="72"/>
      <c r="R10" s="44"/>
      <c r="S10" s="636"/>
      <c r="T10" s="670"/>
      <c r="U10" s="671"/>
      <c r="V10" s="649"/>
      <c r="W10" s="650"/>
      <c r="X10" s="650"/>
      <c r="Y10" s="650"/>
      <c r="Z10" s="650"/>
      <c r="AA10" s="651"/>
      <c r="AB10" s="69"/>
      <c r="AC10" s="69"/>
      <c r="AD10" s="69"/>
      <c r="AE10" s="70"/>
      <c r="AF10" s="70"/>
      <c r="AG10" s="682"/>
      <c r="AH10" s="683"/>
      <c r="AI10" s="686"/>
      <c r="AJ10" s="686"/>
      <c r="AK10" s="687"/>
    </row>
    <row r="11" spans="4:37" ht="9" customHeight="1">
      <c r="D11" s="623"/>
      <c r="E11" s="623"/>
      <c r="F11" s="623"/>
      <c r="G11" s="623"/>
      <c r="H11" s="623"/>
      <c r="I11" s="623"/>
      <c r="J11" s="623"/>
      <c r="K11" s="623"/>
      <c r="L11" s="623"/>
      <c r="M11" s="623"/>
      <c r="N11" s="623"/>
      <c r="O11" s="623"/>
      <c r="P11" s="623"/>
      <c r="S11" s="636"/>
      <c r="T11" s="639" t="s">
        <v>75</v>
      </c>
      <c r="U11" s="640"/>
      <c r="V11" s="672" t="str">
        <f>Data!P44</f>
        <v>0111</v>
      </c>
      <c r="W11" s="673"/>
      <c r="X11" s="673"/>
      <c r="Y11" s="673"/>
      <c r="Z11" s="673"/>
      <c r="AA11" s="674"/>
      <c r="AG11" s="639" t="s">
        <v>76</v>
      </c>
      <c r="AH11" s="694"/>
      <c r="AI11" s="688" t="str">
        <f>Data!D46</f>
        <v>SBH Nizamabad</v>
      </c>
      <c r="AJ11" s="689"/>
      <c r="AK11" s="690"/>
    </row>
    <row r="12" spans="4:37" ht="7.5" customHeight="1">
      <c r="D12" s="623"/>
      <c r="E12" s="623"/>
      <c r="F12" s="623"/>
      <c r="G12" s="623"/>
      <c r="H12" s="623"/>
      <c r="I12" s="623"/>
      <c r="J12" s="623"/>
      <c r="K12" s="623"/>
      <c r="L12" s="623"/>
      <c r="M12" s="623"/>
      <c r="N12" s="623"/>
      <c r="O12" s="623"/>
      <c r="P12" s="623"/>
      <c r="S12" s="636"/>
      <c r="T12" s="641"/>
      <c r="U12" s="642"/>
      <c r="V12" s="675"/>
      <c r="W12" s="676"/>
      <c r="X12" s="676"/>
      <c r="Y12" s="676"/>
      <c r="Z12" s="676"/>
      <c r="AA12" s="677"/>
      <c r="AG12" s="641"/>
      <c r="AH12" s="695"/>
      <c r="AI12" s="691"/>
      <c r="AJ12" s="692"/>
      <c r="AK12" s="693"/>
    </row>
    <row r="13" spans="19:37" ht="28.5" customHeight="1">
      <c r="S13" s="636"/>
      <c r="T13" s="68" t="s">
        <v>77</v>
      </c>
      <c r="U13" s="68"/>
      <c r="V13" s="68"/>
      <c r="W13" s="68"/>
      <c r="X13" s="68"/>
      <c r="Y13" s="68"/>
      <c r="Z13" s="68"/>
      <c r="AA13" s="68"/>
      <c r="AB13" s="68"/>
      <c r="AC13" s="68"/>
      <c r="AD13" s="68"/>
      <c r="AE13" s="68"/>
      <c r="AF13" s="68"/>
      <c r="AG13" s="68"/>
      <c r="AH13" s="68" t="s">
        <v>78</v>
      </c>
      <c r="AI13" s="68"/>
      <c r="AJ13" s="68"/>
      <c r="AK13" s="68"/>
    </row>
    <row r="14" spans="19:35" ht="15" customHeight="1">
      <c r="S14" s="636"/>
      <c r="T14" s="73" t="s">
        <v>79</v>
      </c>
      <c r="AG14" s="74" t="s">
        <v>80</v>
      </c>
      <c r="AH14" s="75"/>
      <c r="AI14" s="50" t="s">
        <v>81</v>
      </c>
    </row>
    <row r="15" spans="1:37" ht="14.25" customHeight="1">
      <c r="A15" s="76" t="s">
        <v>82</v>
      </c>
      <c r="S15" s="636"/>
      <c r="T15" s="50" t="s">
        <v>83</v>
      </c>
      <c r="U15" s="64"/>
      <c r="V15" s="77">
        <v>2</v>
      </c>
      <c r="W15" s="77">
        <v>2</v>
      </c>
      <c r="X15" s="77">
        <v>0</v>
      </c>
      <c r="Y15" s="77">
        <v>2</v>
      </c>
      <c r="AA15" s="78"/>
      <c r="AB15" s="68"/>
      <c r="AC15" s="68"/>
      <c r="AD15" s="68"/>
      <c r="AE15" s="68"/>
      <c r="AG15" s="79">
        <v>1</v>
      </c>
      <c r="AH15" s="64" t="s">
        <v>84</v>
      </c>
      <c r="AI15" s="50" t="s">
        <v>85</v>
      </c>
      <c r="AJ15" s="68"/>
      <c r="AK15" s="80">
        <f>IF(Data!AG104=1,'47 In'!X32,0)</f>
        <v>6959</v>
      </c>
    </row>
    <row r="16" spans="19:37" ht="8.25" customHeight="1">
      <c r="S16" s="636"/>
      <c r="V16" s="64"/>
      <c r="W16" s="64"/>
      <c r="AG16" s="79">
        <v>2</v>
      </c>
      <c r="AH16" s="64"/>
      <c r="AI16" s="50" t="s">
        <v>85</v>
      </c>
      <c r="AJ16" s="81"/>
      <c r="AK16" s="80"/>
    </row>
    <row r="17" spans="19:37" ht="15">
      <c r="S17" s="636"/>
      <c r="T17" s="50" t="s">
        <v>86</v>
      </c>
      <c r="V17" s="77">
        <v>0</v>
      </c>
      <c r="W17" s="82"/>
      <c r="Z17" s="83"/>
      <c r="AA17" s="78"/>
      <c r="AB17" s="68"/>
      <c r="AC17" s="68"/>
      <c r="AD17" s="68"/>
      <c r="AG17" s="79">
        <v>3</v>
      </c>
      <c r="AH17" s="64" t="s">
        <v>87</v>
      </c>
      <c r="AI17" s="50" t="s">
        <v>85</v>
      </c>
      <c r="AJ17" s="81"/>
      <c r="AK17" s="84"/>
    </row>
    <row r="18" spans="9:37" ht="15" customHeight="1">
      <c r="I18" s="85" t="s">
        <v>88</v>
      </c>
      <c r="J18" s="627" t="s">
        <v>69</v>
      </c>
      <c r="K18" s="627"/>
      <c r="L18" s="627"/>
      <c r="M18" s="627"/>
      <c r="N18" s="627"/>
      <c r="O18" s="627"/>
      <c r="P18" s="627"/>
      <c r="S18" s="636"/>
      <c r="AG18" s="79">
        <v>4</v>
      </c>
      <c r="AH18" s="64" t="s">
        <v>89</v>
      </c>
      <c r="AI18" s="50" t="s">
        <v>85</v>
      </c>
      <c r="AJ18" s="81"/>
      <c r="AK18" s="86">
        <f>'47 In'!W32</f>
        <v>150</v>
      </c>
    </row>
    <row r="19" spans="19:37" ht="15.75" customHeight="1">
      <c r="S19" s="636"/>
      <c r="T19" s="50" t="s">
        <v>90</v>
      </c>
      <c r="V19" s="87">
        <v>1</v>
      </c>
      <c r="W19" s="87"/>
      <c r="X19" s="87"/>
      <c r="Z19" s="665"/>
      <c r="AA19" s="665"/>
      <c r="AB19" s="665"/>
      <c r="AC19" s="665"/>
      <c r="AD19" s="665"/>
      <c r="AE19" s="665"/>
      <c r="AG19" s="79">
        <v>5</v>
      </c>
      <c r="AH19" s="64" t="s">
        <v>91</v>
      </c>
      <c r="AI19" s="50" t="s">
        <v>85</v>
      </c>
      <c r="AJ19" s="81"/>
      <c r="AK19" s="84"/>
    </row>
    <row r="20" spans="1:37" ht="10.5" customHeight="1">
      <c r="A20" s="50" t="s">
        <v>92</v>
      </c>
      <c r="K20" s="68"/>
      <c r="L20" s="68"/>
      <c r="M20" s="68"/>
      <c r="N20" s="68"/>
      <c r="O20" s="68"/>
      <c r="P20" s="68"/>
      <c r="Q20" s="64"/>
      <c r="S20" s="636"/>
      <c r="Z20" s="88"/>
      <c r="AA20" s="88"/>
      <c r="AB20" s="88"/>
      <c r="AC20" s="88"/>
      <c r="AD20" s="88"/>
      <c r="AE20" s="88"/>
      <c r="AG20" s="79">
        <v>6</v>
      </c>
      <c r="AH20" s="64" t="s">
        <v>93</v>
      </c>
      <c r="AI20" s="50" t="s">
        <v>85</v>
      </c>
      <c r="AJ20" s="81"/>
      <c r="AK20" s="86"/>
    </row>
    <row r="21" spans="4:37" ht="15">
      <c r="D21" s="89" t="s">
        <v>94</v>
      </c>
      <c r="E21" s="89"/>
      <c r="F21" s="89"/>
      <c r="H21" s="90"/>
      <c r="S21" s="636"/>
      <c r="T21" s="643" t="s">
        <v>95</v>
      </c>
      <c r="U21" s="643"/>
      <c r="W21" s="77"/>
      <c r="X21" s="77"/>
      <c r="Z21" s="64"/>
      <c r="AA21" s="64"/>
      <c r="AB21" s="64"/>
      <c r="AC21" s="64"/>
      <c r="AD21" s="64"/>
      <c r="AE21" s="64"/>
      <c r="AG21" s="79">
        <v>7</v>
      </c>
      <c r="AH21" s="64" t="s">
        <v>96</v>
      </c>
      <c r="AI21" s="50" t="s">
        <v>85</v>
      </c>
      <c r="AJ21" s="81"/>
      <c r="AK21" s="84"/>
    </row>
    <row r="22" spans="19:37" ht="13.5" customHeight="1">
      <c r="S22" s="636"/>
      <c r="Z22" s="664"/>
      <c r="AA22" s="664"/>
      <c r="AB22" s="664"/>
      <c r="AC22" s="664"/>
      <c r="AD22" s="664"/>
      <c r="AE22" s="664"/>
      <c r="AG22" s="79">
        <v>8</v>
      </c>
      <c r="AH22" s="64" t="s">
        <v>97</v>
      </c>
      <c r="AI22" s="50" t="s">
        <v>85</v>
      </c>
      <c r="AK22" s="86"/>
    </row>
    <row r="23" spans="2:37" ht="15">
      <c r="B23" s="92" t="s">
        <v>98</v>
      </c>
      <c r="C23" s="92"/>
      <c r="D23" s="92"/>
      <c r="E23" s="92"/>
      <c r="F23" s="92"/>
      <c r="G23" s="92"/>
      <c r="H23" s="92"/>
      <c r="I23" s="93"/>
      <c r="J23" s="93"/>
      <c r="S23" s="636"/>
      <c r="T23" s="50" t="s">
        <v>99</v>
      </c>
      <c r="W23" s="77"/>
      <c r="X23" s="77"/>
      <c r="Z23" s="664"/>
      <c r="AA23" s="664"/>
      <c r="AB23" s="664"/>
      <c r="AC23" s="664"/>
      <c r="AD23" s="664"/>
      <c r="AE23" s="664"/>
      <c r="AG23" s="79">
        <v>9</v>
      </c>
      <c r="AH23" s="64" t="s">
        <v>100</v>
      </c>
      <c r="AI23" s="50" t="s">
        <v>85</v>
      </c>
      <c r="AJ23" s="68"/>
      <c r="AK23" s="86"/>
    </row>
    <row r="24" spans="2:37" ht="12.75" customHeight="1">
      <c r="B24" s="92" t="s">
        <v>101</v>
      </c>
      <c r="C24" s="92"/>
      <c r="D24" s="92"/>
      <c r="E24" s="92"/>
      <c r="F24" s="92"/>
      <c r="G24" s="92"/>
      <c r="H24" s="92"/>
      <c r="I24" s="93"/>
      <c r="J24" s="93"/>
      <c r="S24" s="636"/>
      <c r="Z24" s="94"/>
      <c r="AA24" s="94"/>
      <c r="AB24" s="94"/>
      <c r="AC24" s="94"/>
      <c r="AD24" s="94"/>
      <c r="AE24" s="94"/>
      <c r="AG24" s="79">
        <v>10</v>
      </c>
      <c r="AH24" s="64" t="s">
        <v>102</v>
      </c>
      <c r="AI24" s="50" t="s">
        <v>85</v>
      </c>
      <c r="AJ24" s="81"/>
      <c r="AK24" s="84"/>
    </row>
    <row r="25" spans="18:37" ht="15">
      <c r="R25" s="27"/>
      <c r="S25" s="636"/>
      <c r="T25" s="643" t="s">
        <v>103</v>
      </c>
      <c r="U25" s="643"/>
      <c r="V25" s="95">
        <v>0</v>
      </c>
      <c r="W25" s="95">
        <v>1</v>
      </c>
      <c r="X25" s="95">
        <v>0</v>
      </c>
      <c r="Z25" s="83" t="s">
        <v>104</v>
      </c>
      <c r="AG25" s="79">
        <v>11</v>
      </c>
      <c r="AH25" s="64" t="s">
        <v>105</v>
      </c>
      <c r="AI25" s="50" t="s">
        <v>85</v>
      </c>
      <c r="AJ25" s="81"/>
      <c r="AK25" s="86"/>
    </row>
    <row r="26" spans="18:37" ht="15">
      <c r="R26" s="44"/>
      <c r="S26" s="636"/>
      <c r="T26" s="96" t="s">
        <v>106</v>
      </c>
      <c r="U26" s="96"/>
      <c r="V26" s="96"/>
      <c r="W26" s="96"/>
      <c r="X26" s="96"/>
      <c r="Y26" s="96"/>
      <c r="Z26" s="660"/>
      <c r="AA26" s="660"/>
      <c r="AB26" s="660"/>
      <c r="AC26" s="660"/>
      <c r="AD26" s="660"/>
      <c r="AE26" s="660"/>
      <c r="AG26" s="79">
        <v>12</v>
      </c>
      <c r="AH26" s="64" t="s">
        <v>107</v>
      </c>
      <c r="AI26" s="50" t="s">
        <v>85</v>
      </c>
      <c r="AJ26" s="81"/>
      <c r="AK26" s="84"/>
    </row>
    <row r="27" spans="19:37" ht="10.5" customHeight="1">
      <c r="S27" s="636"/>
      <c r="AG27" s="79">
        <v>13</v>
      </c>
      <c r="AH27" s="97" t="s">
        <v>108</v>
      </c>
      <c r="AI27" s="50" t="s">
        <v>85</v>
      </c>
      <c r="AJ27" s="81"/>
      <c r="AK27" s="86"/>
    </row>
    <row r="28" spans="19:37" ht="15">
      <c r="S28" s="636"/>
      <c r="T28" s="643" t="s">
        <v>109</v>
      </c>
      <c r="U28" s="643"/>
      <c r="V28" s="643"/>
      <c r="W28" s="77" t="s">
        <v>110</v>
      </c>
      <c r="X28" s="64"/>
      <c r="Y28" s="50" t="s">
        <v>111</v>
      </c>
      <c r="AD28" s="98" t="s">
        <v>112</v>
      </c>
      <c r="AE28" s="99"/>
      <c r="AG28" s="79">
        <v>14</v>
      </c>
      <c r="AH28" s="97" t="s">
        <v>113</v>
      </c>
      <c r="AI28" s="50" t="s">
        <v>85</v>
      </c>
      <c r="AJ28" s="81"/>
      <c r="AK28" s="84"/>
    </row>
    <row r="29" spans="19:37" ht="9" customHeight="1">
      <c r="S29" s="636"/>
      <c r="AG29" s="79">
        <v>15</v>
      </c>
      <c r="AH29" s="97" t="s">
        <v>114</v>
      </c>
      <c r="AI29" s="50" t="s">
        <v>85</v>
      </c>
      <c r="AJ29" s="81"/>
      <c r="AK29" s="86"/>
    </row>
    <row r="30" spans="19:37" ht="12.75" customHeight="1">
      <c r="S30" s="636"/>
      <c r="T30" s="643" t="s">
        <v>115</v>
      </c>
      <c r="U30" s="643"/>
      <c r="V30" s="643"/>
      <c r="W30" s="643"/>
      <c r="AG30" s="79">
        <v>16</v>
      </c>
      <c r="AH30" s="97" t="s">
        <v>116</v>
      </c>
      <c r="AI30" s="50" t="s">
        <v>85</v>
      </c>
      <c r="AJ30" s="81"/>
      <c r="AK30" s="84"/>
    </row>
    <row r="31" spans="19:37" ht="12.75" customHeight="1">
      <c r="S31" s="636"/>
      <c r="T31" s="644" t="s">
        <v>117</v>
      </c>
      <c r="U31" s="644"/>
      <c r="V31" s="644"/>
      <c r="W31" s="77">
        <v>2</v>
      </c>
      <c r="X31" s="77">
        <v>2</v>
      </c>
      <c r="Y31" s="77">
        <v>0</v>
      </c>
      <c r="Z31" s="77">
        <v>2</v>
      </c>
      <c r="AA31" s="68"/>
      <c r="AB31" s="68"/>
      <c r="AC31" s="68"/>
      <c r="AD31" s="68"/>
      <c r="AE31" s="68"/>
      <c r="AG31" s="79">
        <v>17</v>
      </c>
      <c r="AH31" s="97" t="s">
        <v>118</v>
      </c>
      <c r="AI31" s="50" t="s">
        <v>85</v>
      </c>
      <c r="AJ31" s="81"/>
      <c r="AK31" s="86"/>
    </row>
    <row r="32" spans="19:37" ht="5.25" customHeight="1">
      <c r="S32" s="636"/>
      <c r="AG32" s="79">
        <v>18</v>
      </c>
      <c r="AH32" s="64" t="s">
        <v>119</v>
      </c>
      <c r="AI32" s="50" t="s">
        <v>85</v>
      </c>
      <c r="AJ32" s="81"/>
      <c r="AK32" s="84"/>
    </row>
    <row r="33" spans="10:37" ht="14.25" customHeight="1">
      <c r="J33" s="624" t="s">
        <v>88</v>
      </c>
      <c r="K33" s="624"/>
      <c r="L33" s="624"/>
      <c r="M33" s="624"/>
      <c r="N33" s="624"/>
      <c r="O33" s="624"/>
      <c r="P33" s="624"/>
      <c r="S33" s="636"/>
      <c r="T33" s="50" t="s">
        <v>120</v>
      </c>
      <c r="Y33" s="50" t="s">
        <v>121</v>
      </c>
      <c r="Z33" s="630">
        <f>'47 In'!Q32</f>
        <v>5240</v>
      </c>
      <c r="AA33" s="630"/>
      <c r="AB33" s="630"/>
      <c r="AC33" s="630"/>
      <c r="AD33" s="100"/>
      <c r="AG33" s="79">
        <v>19</v>
      </c>
      <c r="AH33" s="64" t="s">
        <v>122</v>
      </c>
      <c r="AI33" s="50" t="s">
        <v>85</v>
      </c>
      <c r="AJ33" s="81"/>
      <c r="AK33" s="86"/>
    </row>
    <row r="34" spans="1:37" ht="15">
      <c r="A34" s="50" t="s">
        <v>123</v>
      </c>
      <c r="M34" s="68"/>
      <c r="N34" s="68"/>
      <c r="O34" s="68"/>
      <c r="P34" s="68"/>
      <c r="Q34" s="64"/>
      <c r="S34" s="636"/>
      <c r="T34" s="50" t="s">
        <v>124</v>
      </c>
      <c r="Y34" s="50" t="s">
        <v>121</v>
      </c>
      <c r="Z34" s="630">
        <f>'47 In'!U32+'47 In'!T32</f>
        <v>0</v>
      </c>
      <c r="AA34" s="630"/>
      <c r="AB34" s="630"/>
      <c r="AC34" s="630"/>
      <c r="AD34" s="100"/>
      <c r="AG34" s="79">
        <v>20</v>
      </c>
      <c r="AH34" s="64" t="s">
        <v>125</v>
      </c>
      <c r="AI34" s="50" t="s">
        <v>85</v>
      </c>
      <c r="AJ34" s="81"/>
      <c r="AK34" s="84"/>
    </row>
    <row r="35" spans="1:37" ht="15" customHeight="1">
      <c r="A35" s="101" t="s">
        <v>126</v>
      </c>
      <c r="B35" s="101"/>
      <c r="C35" s="101"/>
      <c r="D35" s="101"/>
      <c r="E35" s="101"/>
      <c r="F35" s="101"/>
      <c r="G35" s="101"/>
      <c r="H35" s="101"/>
      <c r="I35" s="101"/>
      <c r="J35" s="101"/>
      <c r="K35" s="101"/>
      <c r="L35" s="101"/>
      <c r="M35" s="101"/>
      <c r="N35" s="101"/>
      <c r="O35" s="101"/>
      <c r="P35" s="101"/>
      <c r="Q35" s="101"/>
      <c r="R35" s="101"/>
      <c r="S35" s="636"/>
      <c r="T35" s="50" t="s">
        <v>127</v>
      </c>
      <c r="Y35" s="50" t="s">
        <v>121</v>
      </c>
      <c r="Z35" s="630">
        <f>'47 In'!R32</f>
        <v>1271</v>
      </c>
      <c r="AA35" s="630"/>
      <c r="AB35" s="630"/>
      <c r="AC35" s="630"/>
      <c r="AD35" s="100"/>
      <c r="AG35" s="79">
        <v>21</v>
      </c>
      <c r="AH35" s="64" t="s">
        <v>128</v>
      </c>
      <c r="AI35" s="50" t="s">
        <v>85</v>
      </c>
      <c r="AJ35" s="81"/>
      <c r="AK35" s="86">
        <f>IF(Data!AG104=2,'47 In'!X32,0)</f>
        <v>0</v>
      </c>
    </row>
    <row r="36" spans="19:37" ht="12.75" customHeight="1">
      <c r="S36" s="636"/>
      <c r="T36" s="50" t="s">
        <v>129</v>
      </c>
      <c r="Y36" s="50" t="s">
        <v>121</v>
      </c>
      <c r="Z36" s="630">
        <f>'47 In'!S32</f>
        <v>1048</v>
      </c>
      <c r="AA36" s="630"/>
      <c r="AB36" s="630"/>
      <c r="AC36" s="630"/>
      <c r="AD36" s="100"/>
      <c r="AG36" s="79">
        <v>22</v>
      </c>
      <c r="AH36" s="73" t="s">
        <v>217</v>
      </c>
      <c r="AI36" s="50" t="s">
        <v>85</v>
      </c>
      <c r="AJ36" s="81"/>
      <c r="AK36" s="80">
        <f>IF(Data!AG104=3,'47 In'!X32,0)</f>
        <v>0</v>
      </c>
    </row>
    <row r="37" spans="19:37" ht="11.25" customHeight="1">
      <c r="S37" s="636"/>
      <c r="T37" s="50" t="s">
        <v>131</v>
      </c>
      <c r="Y37" s="50" t="s">
        <v>121</v>
      </c>
      <c r="Z37" s="630"/>
      <c r="AA37" s="630"/>
      <c r="AB37" s="630"/>
      <c r="AC37" s="630"/>
      <c r="AD37" s="100"/>
      <c r="AG37" s="79">
        <v>23</v>
      </c>
      <c r="AH37" s="73" t="s">
        <v>130</v>
      </c>
      <c r="AJ37" s="110"/>
      <c r="AK37" s="111">
        <f>IF(Data!AG104=3,'47 In'!Y32,0)</f>
        <v>0</v>
      </c>
    </row>
    <row r="38" spans="19:37" ht="12" customHeight="1">
      <c r="S38" s="636"/>
      <c r="T38" s="50" t="s">
        <v>132</v>
      </c>
      <c r="Y38" s="50" t="s">
        <v>121</v>
      </c>
      <c r="Z38" s="630"/>
      <c r="AA38" s="630"/>
      <c r="AB38" s="630"/>
      <c r="AC38" s="630"/>
      <c r="AD38" s="100"/>
      <c r="AF38" s="22"/>
      <c r="AG38" s="628" t="s">
        <v>133</v>
      </c>
      <c r="AH38" s="629"/>
      <c r="AI38" s="50" t="s">
        <v>85</v>
      </c>
      <c r="AJ38" s="81"/>
      <c r="AK38" s="80">
        <f>SUM(AK15:AK37)</f>
        <v>7109</v>
      </c>
    </row>
    <row r="39" spans="19:34" ht="2.25" customHeight="1" hidden="1">
      <c r="S39" s="109"/>
      <c r="T39" s="50" t="s">
        <v>134</v>
      </c>
      <c r="Y39" s="50" t="s">
        <v>121</v>
      </c>
      <c r="Z39" s="630"/>
      <c r="AA39" s="630"/>
      <c r="AB39" s="630"/>
      <c r="AC39" s="630"/>
      <c r="AD39" s="100"/>
      <c r="AF39" s="64"/>
      <c r="AG39" s="79"/>
      <c r="AH39" s="64"/>
    </row>
    <row r="40" spans="19:36" ht="3.75" customHeight="1" hidden="1">
      <c r="S40" s="109"/>
      <c r="T40" s="50" t="s">
        <v>135</v>
      </c>
      <c r="Y40" s="50" t="s">
        <v>121</v>
      </c>
      <c r="Z40" s="630"/>
      <c r="AA40" s="630"/>
      <c r="AB40" s="630"/>
      <c r="AC40" s="630"/>
      <c r="AD40" s="100"/>
      <c r="AF40" s="100"/>
      <c r="AG40" s="637" t="s">
        <v>136</v>
      </c>
      <c r="AH40" s="638"/>
      <c r="AI40" s="91" t="s">
        <v>121</v>
      </c>
      <c r="AJ40" s="91"/>
    </row>
    <row r="41" spans="19:34" ht="12" customHeight="1">
      <c r="S41" s="636" t="s">
        <v>216</v>
      </c>
      <c r="T41" s="50" t="s">
        <v>137</v>
      </c>
      <c r="Y41" s="50" t="s">
        <v>121</v>
      </c>
      <c r="Z41" s="630">
        <f>SUM(Z33:AC40)</f>
        <v>7559</v>
      </c>
      <c r="AA41" s="630"/>
      <c r="AB41" s="630"/>
      <c r="AC41" s="630"/>
      <c r="AD41" s="100"/>
      <c r="AF41" s="64"/>
      <c r="AG41" s="79"/>
      <c r="AH41" s="64"/>
    </row>
    <row r="42" spans="19:34" ht="11.25" customHeight="1">
      <c r="S42" s="636"/>
      <c r="T42" s="50" t="s">
        <v>138</v>
      </c>
      <c r="Y42" s="50" t="s">
        <v>121</v>
      </c>
      <c r="Z42" s="630">
        <f>AK38</f>
        <v>7109</v>
      </c>
      <c r="AA42" s="630"/>
      <c r="AB42" s="630"/>
      <c r="AC42" s="630"/>
      <c r="AD42" s="100"/>
      <c r="AF42" s="64"/>
      <c r="AG42" s="79"/>
      <c r="AH42" s="64"/>
    </row>
    <row r="43" spans="9:34" ht="15" customHeight="1">
      <c r="I43" s="102"/>
      <c r="S43" s="636"/>
      <c r="T43" s="50" t="s">
        <v>139</v>
      </c>
      <c r="Y43" s="50" t="s">
        <v>121</v>
      </c>
      <c r="Z43" s="630">
        <f>Z41-Z42</f>
        <v>450</v>
      </c>
      <c r="AA43" s="630"/>
      <c r="AB43" s="630"/>
      <c r="AC43" s="630"/>
      <c r="AD43" s="100"/>
      <c r="AF43" s="64"/>
      <c r="AG43" s="79"/>
      <c r="AH43" s="64"/>
    </row>
    <row r="44" spans="19:34" ht="11.25" customHeight="1">
      <c r="S44" s="636"/>
      <c r="T44" s="50" t="s">
        <v>140</v>
      </c>
      <c r="AF44" s="64"/>
      <c r="AG44" s="79"/>
      <c r="AH44" s="64"/>
    </row>
    <row r="45" spans="19:35" ht="24.75" customHeight="1">
      <c r="S45" s="636"/>
      <c r="T45" s="622" t="str">
        <f>PROGRAMME!B397</f>
        <v>Pass Per Rs.450/- (Four Hundred and Fifty rupees only)</v>
      </c>
      <c r="U45" s="623"/>
      <c r="V45" s="623"/>
      <c r="W45" s="623"/>
      <c r="X45" s="623"/>
      <c r="Y45" s="623"/>
      <c r="Z45" s="623"/>
      <c r="AA45" s="623"/>
      <c r="AB45" s="623"/>
      <c r="AC45" s="623"/>
      <c r="AD45" s="623"/>
      <c r="AE45" s="623"/>
      <c r="AF45" s="631"/>
      <c r="AG45" s="43"/>
      <c r="AH45" s="64"/>
      <c r="AI45" s="103" t="s">
        <v>141</v>
      </c>
    </row>
    <row r="46" spans="19:37" ht="8.25" customHeight="1">
      <c r="S46" s="636"/>
      <c r="T46" s="632"/>
      <c r="U46" s="632"/>
      <c r="V46" s="632"/>
      <c r="W46" s="632"/>
      <c r="X46" s="632"/>
      <c r="Y46" s="632"/>
      <c r="Z46" s="632"/>
      <c r="AA46" s="632"/>
      <c r="AB46" s="632"/>
      <c r="AC46" s="632"/>
      <c r="AD46" s="632"/>
      <c r="AE46" s="632"/>
      <c r="AF46" s="633"/>
      <c r="AG46" s="104"/>
      <c r="AH46" s="68"/>
      <c r="AI46" s="68"/>
      <c r="AJ46" s="68"/>
      <c r="AK46" s="68"/>
    </row>
    <row r="47" spans="20:37" ht="11.25" customHeight="1">
      <c r="T47" s="101" t="s">
        <v>142</v>
      </c>
      <c r="U47" s="101"/>
      <c r="V47" s="101"/>
      <c r="W47" s="101"/>
      <c r="X47" s="101"/>
      <c r="Y47" s="101"/>
      <c r="Z47" s="101"/>
      <c r="AA47" s="101"/>
      <c r="AB47" s="101"/>
      <c r="AC47" s="101"/>
      <c r="AD47" s="101"/>
      <c r="AE47" s="101"/>
      <c r="AF47" s="101"/>
      <c r="AG47" s="101"/>
      <c r="AH47" s="101"/>
      <c r="AI47" s="101"/>
      <c r="AJ47" s="101"/>
      <c r="AK47" s="101"/>
    </row>
    <row r="48" spans="1:37" ht="14.25" customHeight="1">
      <c r="A48" s="634"/>
      <c r="B48" s="634"/>
      <c r="C48" s="634"/>
      <c r="D48" s="634"/>
      <c r="E48" s="634"/>
      <c r="F48" s="634"/>
      <c r="G48" s="634"/>
      <c r="H48" s="634"/>
      <c r="I48" s="634"/>
      <c r="J48" s="634"/>
      <c r="K48" s="634"/>
      <c r="L48" s="634"/>
      <c r="M48" s="634"/>
      <c r="N48" s="634"/>
      <c r="O48" s="105"/>
      <c r="P48" s="45"/>
      <c r="T48" s="121" t="s">
        <v>143</v>
      </c>
      <c r="U48" s="122"/>
      <c r="V48" s="122"/>
      <c r="W48" s="122"/>
      <c r="X48" s="122"/>
      <c r="Y48" s="122"/>
      <c r="Z48" s="122"/>
      <c r="AA48" s="122" t="s">
        <v>144</v>
      </c>
      <c r="AB48" s="122"/>
      <c r="AC48" s="122"/>
      <c r="AD48" s="122"/>
      <c r="AE48" s="122"/>
      <c r="AF48" s="122"/>
      <c r="AG48" s="122"/>
      <c r="AH48" s="122"/>
      <c r="AI48" s="122"/>
      <c r="AJ48" s="122"/>
      <c r="AK48" s="122"/>
    </row>
    <row r="49" spans="1:37" ht="12.75" customHeight="1">
      <c r="A49" s="634"/>
      <c r="B49" s="635"/>
      <c r="C49" s="635"/>
      <c r="D49" s="635"/>
      <c r="E49" s="635"/>
      <c r="F49" s="635"/>
      <c r="G49" s="635"/>
      <c r="H49" s="635"/>
      <c r="I49" s="635"/>
      <c r="J49" s="635"/>
      <c r="K49" s="635"/>
      <c r="L49" s="635"/>
      <c r="M49" s="635"/>
      <c r="N49" s="635"/>
      <c r="O49" s="635"/>
      <c r="P49" s="105"/>
      <c r="T49" s="121" t="s">
        <v>145</v>
      </c>
      <c r="U49" s="122"/>
      <c r="V49" s="122"/>
      <c r="W49" s="122"/>
      <c r="X49" s="122"/>
      <c r="Y49" s="122"/>
      <c r="Z49" s="122"/>
      <c r="AA49" s="122"/>
      <c r="AB49" s="122"/>
      <c r="AC49" s="122"/>
      <c r="AD49" s="122"/>
      <c r="AE49" s="122"/>
      <c r="AF49" s="122"/>
      <c r="AG49" s="122"/>
      <c r="AH49" s="122"/>
      <c r="AI49" s="122"/>
      <c r="AJ49" s="122"/>
      <c r="AK49" s="122"/>
    </row>
    <row r="50" spans="1:37" ht="15" customHeight="1">
      <c r="A50" s="634"/>
      <c r="B50" s="635"/>
      <c r="C50" s="635"/>
      <c r="D50" s="625"/>
      <c r="E50" s="625"/>
      <c r="F50" s="625"/>
      <c r="G50" s="625"/>
      <c r="H50" s="625"/>
      <c r="I50" s="625"/>
      <c r="J50" s="625"/>
      <c r="K50" s="625"/>
      <c r="L50" s="625"/>
      <c r="M50" s="625"/>
      <c r="N50" s="625"/>
      <c r="O50" s="625"/>
      <c r="P50" s="106"/>
      <c r="T50" s="121" t="s">
        <v>228</v>
      </c>
      <c r="U50" s="122"/>
      <c r="V50" s="122"/>
      <c r="W50" s="122"/>
      <c r="X50" s="122"/>
      <c r="Y50" s="122"/>
      <c r="Z50" s="122"/>
      <c r="AA50" s="122"/>
      <c r="AB50" s="122"/>
      <c r="AC50" s="122"/>
      <c r="AD50" s="122"/>
      <c r="AE50" s="122"/>
      <c r="AF50" s="122"/>
      <c r="AG50" s="122"/>
      <c r="AH50" s="122"/>
      <c r="AI50" s="122"/>
      <c r="AJ50" s="122"/>
      <c r="AK50" s="122"/>
    </row>
    <row r="51" spans="1:37" ht="17.25" customHeight="1" hidden="1">
      <c r="A51" s="634"/>
      <c r="B51" s="635"/>
      <c r="C51" s="635"/>
      <c r="D51" s="625"/>
      <c r="E51" s="626"/>
      <c r="F51" s="626"/>
      <c r="G51" s="626"/>
      <c r="H51" s="626"/>
      <c r="I51" s="625"/>
      <c r="J51" s="625"/>
      <c r="K51" s="626"/>
      <c r="L51" s="626"/>
      <c r="M51" s="626"/>
      <c r="N51" s="626"/>
      <c r="O51" s="625"/>
      <c r="P51" s="106"/>
      <c r="T51" s="121" t="s">
        <v>146</v>
      </c>
      <c r="U51" s="122"/>
      <c r="V51" s="122"/>
      <c r="W51" s="122"/>
      <c r="X51" s="122"/>
      <c r="Y51" s="122"/>
      <c r="Z51" s="122"/>
      <c r="AA51" s="122"/>
      <c r="AB51" s="122"/>
      <c r="AC51" s="122"/>
      <c r="AD51" s="122"/>
      <c r="AE51" s="122"/>
      <c r="AF51" s="122"/>
      <c r="AG51" s="122"/>
      <c r="AH51" s="122"/>
      <c r="AI51" s="122"/>
      <c r="AJ51" s="122"/>
      <c r="AK51" s="122"/>
    </row>
    <row r="52" spans="1:37" ht="12.75" customHeight="1" hidden="1">
      <c r="A52" s="634"/>
      <c r="B52" s="635"/>
      <c r="C52" s="635"/>
      <c r="D52" s="625"/>
      <c r="E52" s="626"/>
      <c r="F52" s="626"/>
      <c r="G52" s="626"/>
      <c r="H52" s="626"/>
      <c r="I52" s="625"/>
      <c r="J52" s="625"/>
      <c r="K52" s="626"/>
      <c r="L52" s="626"/>
      <c r="M52" s="626"/>
      <c r="N52" s="626"/>
      <c r="O52" s="625"/>
      <c r="P52" s="105"/>
      <c r="T52" s="122"/>
      <c r="U52" s="122"/>
      <c r="V52" s="122"/>
      <c r="W52" s="122"/>
      <c r="X52" s="122"/>
      <c r="Y52" s="122"/>
      <c r="Z52" s="122"/>
      <c r="AA52" s="122"/>
      <c r="AB52" s="122"/>
      <c r="AC52" s="122"/>
      <c r="AD52" s="122"/>
      <c r="AE52" s="122"/>
      <c r="AF52" s="122"/>
      <c r="AG52" s="122"/>
      <c r="AH52" s="122"/>
      <c r="AI52" s="122"/>
      <c r="AJ52" s="122"/>
      <c r="AK52" s="122"/>
    </row>
    <row r="53" spans="1:37" ht="19.5" customHeight="1">
      <c r="A53" s="634"/>
      <c r="B53" s="635"/>
      <c r="C53" s="635"/>
      <c r="D53" s="625"/>
      <c r="E53" s="626"/>
      <c r="F53" s="626"/>
      <c r="G53" s="626"/>
      <c r="H53" s="626"/>
      <c r="I53" s="625"/>
      <c r="J53" s="625"/>
      <c r="K53" s="626"/>
      <c r="L53" s="626"/>
      <c r="M53" s="626"/>
      <c r="N53" s="626"/>
      <c r="O53" s="625"/>
      <c r="P53" s="105"/>
      <c r="T53" s="122"/>
      <c r="U53" s="122"/>
      <c r="V53" s="122">
        <v>1</v>
      </c>
      <c r="W53" s="122" t="s">
        <v>147</v>
      </c>
      <c r="Y53" s="122"/>
      <c r="Z53" s="122"/>
      <c r="AA53" s="122"/>
      <c r="AB53" s="122"/>
      <c r="AC53" s="123" t="s">
        <v>148</v>
      </c>
      <c r="AD53" s="122"/>
      <c r="AF53" s="122"/>
      <c r="AG53" s="122"/>
      <c r="AH53" s="122"/>
      <c r="AI53" s="122"/>
      <c r="AJ53" s="122"/>
      <c r="AK53" s="122"/>
    </row>
    <row r="54" spans="1:37" ht="10.5" customHeight="1">
      <c r="A54" s="107"/>
      <c r="B54" s="634"/>
      <c r="C54" s="634"/>
      <c r="D54" s="107"/>
      <c r="E54" s="107"/>
      <c r="F54" s="107"/>
      <c r="G54" s="107"/>
      <c r="H54" s="107"/>
      <c r="I54" s="107"/>
      <c r="J54" s="107"/>
      <c r="K54" s="107"/>
      <c r="L54" s="107"/>
      <c r="M54" s="107"/>
      <c r="N54" s="107"/>
      <c r="O54" s="107"/>
      <c r="P54" s="107"/>
      <c r="T54" s="124"/>
      <c r="U54" s="124"/>
      <c r="V54" s="122"/>
      <c r="W54" s="122" t="s">
        <v>149</v>
      </c>
      <c r="Y54" s="122"/>
      <c r="Z54" s="122"/>
      <c r="AA54" s="122"/>
      <c r="AB54" s="122"/>
      <c r="AC54" s="122"/>
      <c r="AD54" s="122"/>
      <c r="AF54" s="122"/>
      <c r="AG54" s="122"/>
      <c r="AH54" s="122"/>
      <c r="AI54" s="122"/>
      <c r="AJ54" s="122"/>
      <c r="AK54" s="122"/>
    </row>
    <row r="55" spans="1:37" ht="15.75" customHeight="1">
      <c r="A55" s="635"/>
      <c r="B55" s="634"/>
      <c r="C55" s="626"/>
      <c r="D55" s="635"/>
      <c r="E55" s="635"/>
      <c r="F55" s="635"/>
      <c r="G55" s="635"/>
      <c r="H55" s="635"/>
      <c r="I55" s="635"/>
      <c r="J55" s="635"/>
      <c r="K55" s="635"/>
      <c r="L55" s="635"/>
      <c r="M55" s="635"/>
      <c r="N55" s="635"/>
      <c r="O55" s="635"/>
      <c r="P55" s="64"/>
      <c r="T55" s="124"/>
      <c r="U55" s="124"/>
      <c r="V55" s="122">
        <v>2</v>
      </c>
      <c r="W55" s="122" t="s">
        <v>147</v>
      </c>
      <c r="Y55" s="122"/>
      <c r="Z55" s="122"/>
      <c r="AA55" s="122"/>
      <c r="AB55" s="122"/>
      <c r="AC55" s="122" t="s">
        <v>150</v>
      </c>
      <c r="AD55" s="122"/>
      <c r="AF55" s="122"/>
      <c r="AG55" s="122"/>
      <c r="AH55" s="122"/>
      <c r="AI55" s="122"/>
      <c r="AJ55" s="122"/>
      <c r="AK55" s="122"/>
    </row>
    <row r="56" spans="1:37" ht="12" customHeight="1">
      <c r="A56" s="626"/>
      <c r="B56" s="626"/>
      <c r="C56" s="626"/>
      <c r="D56" s="635"/>
      <c r="E56" s="635"/>
      <c r="F56" s="635"/>
      <c r="G56" s="635"/>
      <c r="H56" s="635"/>
      <c r="I56" s="635"/>
      <c r="J56" s="635"/>
      <c r="K56" s="635"/>
      <c r="L56" s="635"/>
      <c r="M56" s="635"/>
      <c r="N56" s="635"/>
      <c r="O56" s="635"/>
      <c r="P56" s="64"/>
      <c r="T56" s="124"/>
      <c r="U56" s="124"/>
      <c r="V56" s="122"/>
      <c r="W56" s="122" t="s">
        <v>151</v>
      </c>
      <c r="Y56" s="122"/>
      <c r="Z56" s="122"/>
      <c r="AA56" s="122"/>
      <c r="AB56" s="122"/>
      <c r="AC56" s="122"/>
      <c r="AD56" s="122"/>
      <c r="AE56" s="122"/>
      <c r="AF56" s="122"/>
      <c r="AG56" s="122"/>
      <c r="AH56" s="122"/>
      <c r="AI56" s="122"/>
      <c r="AJ56" s="122"/>
      <c r="AK56" s="122"/>
    </row>
    <row r="57" spans="1:37" ht="10.5" customHeight="1">
      <c r="A57" s="626"/>
      <c r="B57" s="626"/>
      <c r="C57" s="626"/>
      <c r="D57" s="635"/>
      <c r="E57" s="635"/>
      <c r="F57" s="635"/>
      <c r="G57" s="635"/>
      <c r="H57" s="635"/>
      <c r="I57" s="635"/>
      <c r="J57" s="635"/>
      <c r="K57" s="635"/>
      <c r="L57" s="635"/>
      <c r="M57" s="635"/>
      <c r="N57" s="635"/>
      <c r="O57" s="635"/>
      <c r="P57" s="64"/>
      <c r="T57" s="124"/>
      <c r="U57" s="124"/>
      <c r="V57" s="122"/>
      <c r="W57" s="122"/>
      <c r="X57" s="122"/>
      <c r="Y57" s="122"/>
      <c r="Z57" s="122"/>
      <c r="AA57" s="122"/>
      <c r="AB57" s="122"/>
      <c r="AC57" s="122"/>
      <c r="AD57" s="122"/>
      <c r="AE57" s="122"/>
      <c r="AF57" s="122"/>
      <c r="AG57" s="122"/>
      <c r="AH57" s="122"/>
      <c r="AI57" s="122"/>
      <c r="AJ57" s="122"/>
      <c r="AK57" s="122"/>
    </row>
    <row r="58" spans="1:37" ht="22.5" customHeight="1">
      <c r="A58" s="108"/>
      <c r="B58" s="634"/>
      <c r="C58" s="634"/>
      <c r="D58" s="64"/>
      <c r="E58" s="64"/>
      <c r="F58" s="64"/>
      <c r="G58" s="64"/>
      <c r="H58" s="64"/>
      <c r="I58" s="64"/>
      <c r="J58" s="64"/>
      <c r="K58" s="64"/>
      <c r="L58" s="64"/>
      <c r="M58" s="64"/>
      <c r="N58" s="64"/>
      <c r="O58" s="64"/>
      <c r="P58" s="64"/>
      <c r="T58" s="122"/>
      <c r="U58" s="122"/>
      <c r="V58" s="122"/>
      <c r="W58" s="122"/>
      <c r="X58" s="122"/>
      <c r="Y58" s="122"/>
      <c r="Z58" s="122"/>
      <c r="AA58" s="122"/>
      <c r="AB58" s="125" t="s">
        <v>152</v>
      </c>
      <c r="AC58" s="2"/>
      <c r="AD58" s="2"/>
      <c r="AE58" s="2"/>
      <c r="AF58" s="2"/>
      <c r="AG58" s="2"/>
      <c r="AH58" s="2"/>
      <c r="AI58" s="2"/>
      <c r="AJ58" s="2"/>
      <c r="AK58" s="2"/>
    </row>
  </sheetData>
  <sheetProtection formatCells="0" formatColumns="0" formatRows="0" insertColumns="0" insertRows="0" insertHyperlinks="0" deleteColumns="0" deleteRows="0" sort="0" autoFilter="0" pivotTables="0"/>
  <mergeCells count="82">
    <mergeCell ref="T9:U10"/>
    <mergeCell ref="V11:AA12"/>
    <mergeCell ref="AI6:AK6"/>
    <mergeCell ref="AG9:AH10"/>
    <mergeCell ref="AI9:AK10"/>
    <mergeCell ref="AI11:AK12"/>
    <mergeCell ref="AG11:AH12"/>
    <mergeCell ref="Y6:AA6"/>
    <mergeCell ref="Z26:AE26"/>
    <mergeCell ref="Z34:AC34"/>
    <mergeCell ref="Z35:AC35"/>
    <mergeCell ref="V8:AA8"/>
    <mergeCell ref="T28:V28"/>
    <mergeCell ref="T30:W30"/>
    <mergeCell ref="T25:U25"/>
    <mergeCell ref="Z22:AE23"/>
    <mergeCell ref="Z19:AE19"/>
    <mergeCell ref="T8:U8"/>
    <mergeCell ref="J8:P8"/>
    <mergeCell ref="V9:AA10"/>
    <mergeCell ref="A1:Q1"/>
    <mergeCell ref="I2:N2"/>
    <mergeCell ref="I3:N3"/>
    <mergeCell ref="T3:AK3"/>
    <mergeCell ref="A10:B10"/>
    <mergeCell ref="I4:N4"/>
    <mergeCell ref="T4:AK4"/>
    <mergeCell ref="AD5:AE5"/>
    <mergeCell ref="AG40:AH40"/>
    <mergeCell ref="Z33:AC33"/>
    <mergeCell ref="Z38:AC38"/>
    <mergeCell ref="S5:S38"/>
    <mergeCell ref="T11:U12"/>
    <mergeCell ref="T21:U21"/>
    <mergeCell ref="Z40:AC40"/>
    <mergeCell ref="Z37:AC37"/>
    <mergeCell ref="Z36:AC36"/>
    <mergeCell ref="T31:V31"/>
    <mergeCell ref="N55:N57"/>
    <mergeCell ref="E55:E57"/>
    <mergeCell ref="B58:C58"/>
    <mergeCell ref="D49:I49"/>
    <mergeCell ref="G50:G53"/>
    <mergeCell ref="H50:H53"/>
    <mergeCell ref="I50:I53"/>
    <mergeCell ref="L55:L57"/>
    <mergeCell ref="L50:L53"/>
    <mergeCell ref="B55:C57"/>
    <mergeCell ref="D55:D57"/>
    <mergeCell ref="E50:E53"/>
    <mergeCell ref="M50:M53"/>
    <mergeCell ref="M55:M57"/>
    <mergeCell ref="G55:G57"/>
    <mergeCell ref="H55:H57"/>
    <mergeCell ref="I55:I57"/>
    <mergeCell ref="J55:J57"/>
    <mergeCell ref="S41:S46"/>
    <mergeCell ref="Z41:AC41"/>
    <mergeCell ref="Z42:AC42"/>
    <mergeCell ref="J50:J53"/>
    <mergeCell ref="J49:O49"/>
    <mergeCell ref="N50:N53"/>
    <mergeCell ref="A49:A53"/>
    <mergeCell ref="O55:O57"/>
    <mergeCell ref="F55:F57"/>
    <mergeCell ref="K55:K57"/>
    <mergeCell ref="O50:O53"/>
    <mergeCell ref="F50:F53"/>
    <mergeCell ref="A55:A57"/>
    <mergeCell ref="B54:C54"/>
    <mergeCell ref="B49:C53"/>
    <mergeCell ref="D50:D53"/>
    <mergeCell ref="T1:AK2"/>
    <mergeCell ref="D10:P12"/>
    <mergeCell ref="J33:P33"/>
    <mergeCell ref="K50:K53"/>
    <mergeCell ref="J18:P18"/>
    <mergeCell ref="AG38:AH38"/>
    <mergeCell ref="Z39:AC39"/>
    <mergeCell ref="Z43:AC43"/>
    <mergeCell ref="T45:AF46"/>
    <mergeCell ref="A48:N48"/>
  </mergeCells>
  <printOptions horizontalCentered="1" verticalCentered="1"/>
  <pageMargins left="0.37" right="0.29" top="0.26" bottom="0.19" header="0" footer="0"/>
  <pageSetup horizontalDpi="120" verticalDpi="120" orientation="landscape" paperSize="5" scale="80" r:id="rId1"/>
</worksheet>
</file>

<file path=xl/worksheets/sheet6.xml><?xml version="1.0" encoding="utf-8"?>
<worksheet xmlns="http://schemas.openxmlformats.org/spreadsheetml/2006/main" xmlns:r="http://schemas.openxmlformats.org/officeDocument/2006/relationships">
  <dimension ref="A1:T160"/>
  <sheetViews>
    <sheetView showGridLines="0" zoomScaleSheetLayoutView="115" zoomScalePageLayoutView="0" workbookViewId="0" topLeftCell="A1">
      <selection activeCell="I129" sqref="I129:N129"/>
    </sheetView>
  </sheetViews>
  <sheetFormatPr defaultColWidth="9.33203125" defaultRowHeight="12.75"/>
  <cols>
    <col min="1" max="13" width="6" style="9" customWidth="1"/>
    <col min="14" max="14" width="5.16015625" style="9" customWidth="1"/>
    <col min="15" max="17" width="6.5" style="9" customWidth="1"/>
    <col min="18" max="16384" width="9.33203125" style="9" customWidth="1"/>
  </cols>
  <sheetData>
    <row r="1" spans="1:20" ht="17.25" customHeight="1">
      <c r="A1" s="763" t="s">
        <v>154</v>
      </c>
      <c r="B1" s="763"/>
      <c r="C1" s="763"/>
      <c r="D1" s="763"/>
      <c r="E1" s="763"/>
      <c r="F1" s="763"/>
      <c r="G1" s="763"/>
      <c r="H1" s="763"/>
      <c r="I1" s="763"/>
      <c r="J1" s="763"/>
      <c r="K1" s="763"/>
      <c r="L1" s="763"/>
      <c r="M1" s="763"/>
      <c r="N1" s="763"/>
      <c r="O1" s="763"/>
      <c r="P1" s="763"/>
      <c r="Q1" s="763"/>
      <c r="R1" s="14"/>
      <c r="S1" s="14"/>
      <c r="T1" s="46"/>
    </row>
    <row r="2" spans="1:20" ht="12" customHeight="1">
      <c r="A2" s="14"/>
      <c r="B2" s="14"/>
      <c r="C2" s="14"/>
      <c r="D2" s="10" t="s">
        <v>155</v>
      </c>
      <c r="E2" s="14"/>
      <c r="F2" s="14"/>
      <c r="G2" s="47"/>
      <c r="H2" s="47"/>
      <c r="I2" s="47"/>
      <c r="J2" s="47"/>
      <c r="K2" s="47"/>
      <c r="L2" s="14"/>
      <c r="M2" s="14"/>
      <c r="N2" s="14"/>
      <c r="O2" s="14"/>
      <c r="P2" s="14"/>
      <c r="Q2" s="14"/>
      <c r="R2" s="14"/>
      <c r="S2" s="14"/>
      <c r="T2" s="46"/>
    </row>
    <row r="3" spans="1:20" ht="12" customHeight="1">
      <c r="A3" s="11"/>
      <c r="B3" s="11"/>
      <c r="C3" s="11"/>
      <c r="D3" s="11" t="s">
        <v>156</v>
      </c>
      <c r="E3" s="11"/>
      <c r="F3" s="11"/>
      <c r="G3" s="11"/>
      <c r="H3" s="46"/>
      <c r="I3" s="46"/>
      <c r="J3" s="46"/>
      <c r="K3" s="12"/>
      <c r="L3" s="12"/>
      <c r="M3" s="12"/>
      <c r="N3" s="12"/>
      <c r="O3" s="12"/>
      <c r="P3" s="12"/>
      <c r="Q3" s="12"/>
      <c r="R3" s="12"/>
      <c r="S3" s="12"/>
      <c r="T3" s="46"/>
    </row>
    <row r="4" spans="1:20" ht="3.75" customHeight="1">
      <c r="A4" s="11"/>
      <c r="B4" s="11"/>
      <c r="C4" s="11"/>
      <c r="D4" s="11"/>
      <c r="E4" s="11"/>
      <c r="F4" s="11"/>
      <c r="G4" s="11"/>
      <c r="H4" s="46"/>
      <c r="I4" s="46"/>
      <c r="J4" s="46"/>
      <c r="K4" s="12"/>
      <c r="L4" s="12"/>
      <c r="M4" s="12"/>
      <c r="N4" s="12"/>
      <c r="O4" s="12"/>
      <c r="P4" s="12"/>
      <c r="Q4" s="12"/>
      <c r="R4" s="12"/>
      <c r="S4" s="12"/>
      <c r="T4" s="46"/>
    </row>
    <row r="5" spans="1:20" ht="15" customHeight="1">
      <c r="A5" s="12" t="s">
        <v>51</v>
      </c>
      <c r="B5" s="13"/>
      <c r="C5" s="13"/>
      <c r="D5" s="764">
        <f>L41</f>
        <v>20080308091</v>
      </c>
      <c r="E5" s="764"/>
      <c r="F5" s="764"/>
      <c r="G5" s="764"/>
      <c r="H5" s="764"/>
      <c r="I5" s="764"/>
      <c r="J5" s="765"/>
      <c r="K5" s="12" t="s">
        <v>157</v>
      </c>
      <c r="L5" s="14"/>
      <c r="M5" s="14"/>
      <c r="N5" s="14"/>
      <c r="O5" s="766" t="str">
        <f>E41</f>
        <v>2008</v>
      </c>
      <c r="P5" s="767"/>
      <c r="Q5" s="767"/>
      <c r="R5" s="14"/>
      <c r="S5" s="14"/>
      <c r="T5" s="13"/>
    </row>
    <row r="6" spans="1:20" ht="27.75" customHeight="1">
      <c r="A6" s="12" t="s">
        <v>158</v>
      </c>
      <c r="B6" s="46"/>
      <c r="C6" s="12"/>
      <c r="D6" s="768" t="str">
        <f>L43</f>
        <v>0, Kama Reddy</v>
      </c>
      <c r="E6" s="768"/>
      <c r="F6" s="768"/>
      <c r="G6" s="768"/>
      <c r="H6" s="768"/>
      <c r="I6" s="768"/>
      <c r="J6" s="768"/>
      <c r="K6" s="769" t="s">
        <v>159</v>
      </c>
      <c r="L6" s="769"/>
      <c r="M6" s="770" t="str">
        <f>E43</f>
        <v>Nizamabad</v>
      </c>
      <c r="N6" s="771"/>
      <c r="O6" s="771"/>
      <c r="P6" s="771"/>
      <c r="Q6" s="771"/>
      <c r="R6" s="12"/>
      <c r="S6" s="12"/>
      <c r="T6" s="46"/>
    </row>
    <row r="7" spans="1:20" ht="19.5" customHeight="1">
      <c r="A7" s="46" t="s">
        <v>160</v>
      </c>
      <c r="B7" s="46"/>
      <c r="C7" s="46"/>
      <c r="D7" s="46"/>
      <c r="E7" s="46"/>
      <c r="F7" s="46"/>
      <c r="G7" s="46"/>
      <c r="H7" s="46"/>
      <c r="I7" s="46"/>
      <c r="J7" s="46"/>
      <c r="K7" s="46"/>
      <c r="L7" s="46"/>
      <c r="M7" s="46"/>
      <c r="N7" s="46"/>
      <c r="O7" s="46"/>
      <c r="P7" s="46"/>
      <c r="Q7" s="46"/>
      <c r="R7" s="46"/>
      <c r="S7" s="46"/>
      <c r="T7" s="46"/>
    </row>
    <row r="8" spans="1:20" ht="14.25" customHeight="1">
      <c r="A8" s="46" t="s">
        <v>161</v>
      </c>
      <c r="B8" s="46"/>
      <c r="C8" s="46"/>
      <c r="D8" s="46"/>
      <c r="E8" s="46"/>
      <c r="F8" s="46"/>
      <c r="G8" s="46"/>
      <c r="H8" s="46"/>
      <c r="I8" s="46"/>
      <c r="J8" s="46"/>
      <c r="K8" s="46"/>
      <c r="L8" s="46"/>
      <c r="M8" s="46"/>
      <c r="N8" s="46"/>
      <c r="O8" s="46"/>
      <c r="P8" s="46"/>
      <c r="Q8" s="46"/>
      <c r="R8" s="46"/>
      <c r="S8" s="46"/>
      <c r="T8" s="46"/>
    </row>
    <row r="9" spans="1:20" ht="14.25" customHeight="1">
      <c r="A9" s="760" t="str">
        <f>Data!D46</f>
        <v>SBH Nizamabad</v>
      </c>
      <c r="B9" s="760"/>
      <c r="C9" s="760"/>
      <c r="D9" s="760"/>
      <c r="E9" s="760"/>
      <c r="F9" s="760"/>
      <c r="G9" s="760"/>
      <c r="H9" s="46"/>
      <c r="I9" s="46"/>
      <c r="J9" s="46"/>
      <c r="K9" s="46"/>
      <c r="L9" s="46"/>
      <c r="M9" s="46"/>
      <c r="N9" s="46"/>
      <c r="O9" s="46"/>
      <c r="P9" s="46"/>
      <c r="Q9" s="46"/>
      <c r="R9" s="46"/>
      <c r="S9" s="46"/>
      <c r="T9" s="46"/>
    </row>
    <row r="10" spans="1:20" ht="3" customHeight="1">
      <c r="A10" s="46"/>
      <c r="B10" s="46"/>
      <c r="C10" s="46"/>
      <c r="D10" s="46"/>
      <c r="E10" s="46"/>
      <c r="F10" s="46"/>
      <c r="G10" s="46"/>
      <c r="H10" s="46"/>
      <c r="I10" s="46"/>
      <c r="J10" s="46"/>
      <c r="K10" s="46"/>
      <c r="L10" s="46"/>
      <c r="M10" s="46"/>
      <c r="N10" s="46"/>
      <c r="O10" s="46"/>
      <c r="P10" s="46"/>
      <c r="Q10" s="46"/>
      <c r="R10" s="46"/>
      <c r="S10" s="46"/>
      <c r="T10" s="46"/>
    </row>
    <row r="11" spans="1:20" ht="15.75" customHeight="1">
      <c r="A11" s="46"/>
      <c r="B11" s="46" t="s">
        <v>162</v>
      </c>
      <c r="D11" s="46"/>
      <c r="E11" s="46"/>
      <c r="F11" s="46"/>
      <c r="G11" s="46"/>
      <c r="H11" s="46"/>
      <c r="I11" s="46" t="s">
        <v>163</v>
      </c>
      <c r="K11" s="46"/>
      <c r="L11" s="46"/>
      <c r="M11" s="46" t="s">
        <v>164</v>
      </c>
      <c r="N11" s="46"/>
      <c r="O11" s="761">
        <f>'47 In'!Z32</f>
        <v>450</v>
      </c>
      <c r="P11" s="762"/>
      <c r="Q11" s="762"/>
      <c r="R11" s="48"/>
      <c r="S11" s="48"/>
      <c r="T11" s="48"/>
    </row>
    <row r="12" spans="1:20" ht="5.25" customHeight="1">
      <c r="A12" s="46"/>
      <c r="B12" s="46"/>
      <c r="C12" s="46"/>
      <c r="D12" s="46"/>
      <c r="E12" s="46"/>
      <c r="F12" s="46"/>
      <c r="G12" s="46"/>
      <c r="H12" s="46"/>
      <c r="I12" s="46"/>
      <c r="J12" s="46"/>
      <c r="K12" s="46"/>
      <c r="L12" s="46"/>
      <c r="M12" s="46"/>
      <c r="N12" s="46"/>
      <c r="O12" s="46"/>
      <c r="P12" s="46"/>
      <c r="Q12" s="46"/>
      <c r="R12" s="46"/>
      <c r="S12" s="46"/>
      <c r="T12" s="46"/>
    </row>
    <row r="13" spans="1:20" ht="12.75" customHeight="1">
      <c r="A13" s="13"/>
      <c r="B13" s="13"/>
      <c r="C13" s="13"/>
      <c r="D13" s="772"/>
      <c r="E13" s="772"/>
      <c r="F13" s="772"/>
      <c r="G13" s="772"/>
      <c r="H13" s="772"/>
      <c r="I13" s="772"/>
      <c r="J13" s="772"/>
      <c r="K13" s="772"/>
      <c r="L13" s="772"/>
      <c r="M13" s="772"/>
      <c r="N13" s="772"/>
      <c r="O13" s="772"/>
      <c r="P13" s="49"/>
      <c r="Q13" s="49"/>
      <c r="R13" s="49"/>
      <c r="S13" s="49"/>
      <c r="T13" s="49"/>
    </row>
    <row r="14" spans="1:20" ht="12.75" customHeight="1">
      <c r="A14" s="15"/>
      <c r="B14" s="15"/>
      <c r="C14" s="15"/>
      <c r="D14" s="772"/>
      <c r="E14" s="772"/>
      <c r="F14" s="772"/>
      <c r="G14" s="772"/>
      <c r="H14" s="772"/>
      <c r="I14" s="772"/>
      <c r="J14" s="772"/>
      <c r="K14" s="772"/>
      <c r="L14" s="772"/>
      <c r="M14" s="772"/>
      <c r="N14" s="772"/>
      <c r="O14" s="772"/>
      <c r="P14" s="49"/>
      <c r="Q14" s="49"/>
      <c r="R14" s="49"/>
      <c r="S14" s="49"/>
      <c r="T14" s="49"/>
    </row>
    <row r="15" spans="1:20" ht="3" customHeight="1">
      <c r="A15" s="46"/>
      <c r="B15" s="46"/>
      <c r="C15" s="46"/>
      <c r="D15" s="46"/>
      <c r="E15" s="46"/>
      <c r="F15" s="46"/>
      <c r="G15" s="46"/>
      <c r="H15" s="46"/>
      <c r="I15" s="46"/>
      <c r="J15" s="46"/>
      <c r="K15" s="46"/>
      <c r="L15" s="46"/>
      <c r="M15" s="46"/>
      <c r="N15" s="46"/>
      <c r="O15" s="46"/>
      <c r="P15" s="46"/>
      <c r="Q15" s="46"/>
      <c r="R15" s="46"/>
      <c r="S15" s="46"/>
      <c r="T15" s="46"/>
    </row>
    <row r="16" spans="1:20" ht="15" customHeight="1">
      <c r="A16" s="773"/>
      <c r="B16" s="773"/>
      <c r="C16" s="773"/>
      <c r="D16" s="773"/>
      <c r="E16" s="773"/>
      <c r="F16" s="773"/>
      <c r="G16" s="773"/>
      <c r="H16" s="773"/>
      <c r="I16" s="773"/>
      <c r="J16" s="773"/>
      <c r="K16" s="773"/>
      <c r="L16" s="773"/>
      <c r="M16" s="773"/>
      <c r="N16" s="773"/>
      <c r="O16" s="773"/>
      <c r="P16" s="773"/>
      <c r="Q16" s="773"/>
      <c r="R16" s="46"/>
      <c r="S16" s="46"/>
      <c r="T16" s="46"/>
    </row>
    <row r="17" spans="1:20" ht="15" customHeight="1">
      <c r="A17" s="46" t="s">
        <v>165</v>
      </c>
      <c r="B17" s="46"/>
      <c r="C17" s="46"/>
      <c r="D17" s="46"/>
      <c r="E17" s="46"/>
      <c r="F17" s="46"/>
      <c r="G17" s="46"/>
      <c r="H17" s="46"/>
      <c r="I17" s="46"/>
      <c r="J17" s="46"/>
      <c r="K17" s="46"/>
      <c r="L17" s="46"/>
      <c r="M17" s="46"/>
      <c r="N17" s="46"/>
      <c r="O17" s="46"/>
      <c r="P17" s="46"/>
      <c r="Q17" s="46"/>
      <c r="R17" s="46"/>
      <c r="S17" s="46"/>
      <c r="T17" s="46"/>
    </row>
    <row r="18" spans="1:20" ht="16.5" customHeight="1">
      <c r="A18" s="46"/>
      <c r="B18" s="46"/>
      <c r="C18" s="46"/>
      <c r="D18" s="46"/>
      <c r="E18" s="46"/>
      <c r="F18" s="46"/>
      <c r="G18" s="46"/>
      <c r="H18" s="46"/>
      <c r="I18" s="46"/>
      <c r="J18" s="46"/>
      <c r="K18" s="46"/>
      <c r="L18" s="46"/>
      <c r="M18" s="46"/>
      <c r="N18" s="46"/>
      <c r="O18" s="46"/>
      <c r="P18" s="46"/>
      <c r="Q18" s="46"/>
      <c r="R18" s="46"/>
      <c r="S18" s="46"/>
      <c r="T18" s="46"/>
    </row>
    <row r="19" spans="1:20" ht="12" customHeight="1">
      <c r="A19" s="46"/>
      <c r="B19" s="46"/>
      <c r="C19" s="46"/>
      <c r="D19" s="46"/>
      <c r="E19" s="46"/>
      <c r="F19" s="46"/>
      <c r="G19" s="46"/>
      <c r="H19" s="46"/>
      <c r="I19" s="46"/>
      <c r="J19" s="46"/>
      <c r="K19" s="46"/>
      <c r="L19" s="46"/>
      <c r="M19" s="46"/>
      <c r="N19" s="46"/>
      <c r="O19" s="46"/>
      <c r="P19" s="46"/>
      <c r="Q19" s="46"/>
      <c r="R19" s="46"/>
      <c r="S19" s="46"/>
      <c r="T19" s="46"/>
    </row>
    <row r="20" spans="1:20" ht="10.5" customHeight="1">
      <c r="A20" s="46" t="s">
        <v>166</v>
      </c>
      <c r="B20" s="46"/>
      <c r="C20" s="46"/>
      <c r="D20" s="46"/>
      <c r="E20" s="46"/>
      <c r="F20" s="46"/>
      <c r="G20" s="46"/>
      <c r="H20" s="46"/>
      <c r="I20" s="46"/>
      <c r="J20" s="46"/>
      <c r="K20" s="46"/>
      <c r="L20" s="46"/>
      <c r="M20" s="46" t="s">
        <v>167</v>
      </c>
      <c r="N20" s="46"/>
      <c r="O20" s="46"/>
      <c r="P20" s="46"/>
      <c r="Q20" s="46"/>
      <c r="R20" s="46"/>
      <c r="S20" s="46"/>
      <c r="T20" s="46"/>
    </row>
    <row r="21" spans="1:20" ht="3" customHeight="1">
      <c r="A21" s="46"/>
      <c r="B21" s="46"/>
      <c r="C21" s="46"/>
      <c r="D21" s="46"/>
      <c r="E21" s="46"/>
      <c r="F21" s="46"/>
      <c r="G21" s="46"/>
      <c r="H21" s="46"/>
      <c r="I21" s="46"/>
      <c r="J21" s="46"/>
      <c r="K21" s="46"/>
      <c r="L21" s="46"/>
      <c r="M21" s="46"/>
      <c r="N21" s="46"/>
      <c r="O21" s="46"/>
      <c r="P21" s="46"/>
      <c r="Q21" s="46"/>
      <c r="R21" s="46"/>
      <c r="S21" s="46"/>
      <c r="T21" s="46"/>
    </row>
    <row r="22" spans="1:20" ht="15">
      <c r="A22" s="46" t="s">
        <v>168</v>
      </c>
      <c r="B22" s="46"/>
      <c r="C22" s="46"/>
      <c r="D22" s="46"/>
      <c r="E22" s="46"/>
      <c r="F22" s="46"/>
      <c r="G22" s="46"/>
      <c r="H22" s="46"/>
      <c r="I22" s="46"/>
      <c r="J22" s="46"/>
      <c r="K22" s="46"/>
      <c r="L22" s="46"/>
      <c r="M22" s="46" t="s">
        <v>169</v>
      </c>
      <c r="N22" s="46"/>
      <c r="O22" s="46"/>
      <c r="P22" s="46"/>
      <c r="Q22" s="46"/>
      <c r="R22" s="46"/>
      <c r="S22" s="46"/>
      <c r="T22" s="46"/>
    </row>
    <row r="23" spans="1:20" ht="9.75" customHeight="1">
      <c r="A23" s="46"/>
      <c r="B23" s="46"/>
      <c r="C23" s="46"/>
      <c r="D23" s="46"/>
      <c r="E23" s="46"/>
      <c r="F23" s="46"/>
      <c r="G23" s="46"/>
      <c r="H23" s="46"/>
      <c r="I23" s="46"/>
      <c r="J23" s="46"/>
      <c r="K23" s="46"/>
      <c r="L23" s="46"/>
      <c r="M23" s="46"/>
      <c r="N23" s="46"/>
      <c r="O23" s="46"/>
      <c r="P23" s="46"/>
      <c r="Q23" s="46"/>
      <c r="R23" s="46"/>
      <c r="S23" s="46"/>
      <c r="T23" s="46"/>
    </row>
    <row r="24" spans="1:20" ht="15">
      <c r="A24" s="46"/>
      <c r="B24" s="46"/>
      <c r="C24" s="46"/>
      <c r="D24" s="46"/>
      <c r="E24" s="46"/>
      <c r="F24" s="46"/>
      <c r="G24" s="46"/>
      <c r="H24" s="46"/>
      <c r="I24" s="46"/>
      <c r="J24" s="46"/>
      <c r="K24" s="46"/>
      <c r="L24" s="46"/>
      <c r="M24" s="46"/>
      <c r="N24" s="46"/>
      <c r="O24" s="46"/>
      <c r="P24" s="46"/>
      <c r="Q24" s="46"/>
      <c r="R24" s="46"/>
      <c r="S24" s="46"/>
      <c r="T24" s="46"/>
    </row>
    <row r="25" spans="1:20" ht="15">
      <c r="A25" s="46"/>
      <c r="B25" s="46"/>
      <c r="C25" s="46" t="s">
        <v>170</v>
      </c>
      <c r="D25" s="46"/>
      <c r="E25" s="46"/>
      <c r="F25" s="46"/>
      <c r="G25" s="46"/>
      <c r="H25" s="46"/>
      <c r="I25" s="46"/>
      <c r="J25" s="46"/>
      <c r="K25" s="46"/>
      <c r="L25" s="46"/>
      <c r="M25" s="46" t="s">
        <v>171</v>
      </c>
      <c r="N25" s="46"/>
      <c r="O25" s="46"/>
      <c r="P25" s="46"/>
      <c r="Q25" s="46"/>
      <c r="R25" s="46"/>
      <c r="S25" s="46"/>
      <c r="T25" s="46"/>
    </row>
    <row r="26" spans="1:20" ht="15">
      <c r="A26" s="46"/>
      <c r="B26" s="46"/>
      <c r="C26" s="46"/>
      <c r="D26" s="46"/>
      <c r="E26" s="46"/>
      <c r="F26" s="46"/>
      <c r="G26" s="46"/>
      <c r="H26" s="46"/>
      <c r="I26" s="46"/>
      <c r="J26" s="46"/>
      <c r="K26" s="46"/>
      <c r="L26" s="46"/>
      <c r="M26" s="46" t="s">
        <v>172</v>
      </c>
      <c r="N26" s="46"/>
      <c r="O26" s="46"/>
      <c r="P26" s="46"/>
      <c r="Q26" s="46"/>
      <c r="R26" s="46"/>
      <c r="S26" s="46"/>
      <c r="T26" s="46"/>
    </row>
    <row r="27" spans="1:20" ht="15">
      <c r="A27" s="46"/>
      <c r="B27" s="46"/>
      <c r="C27" s="46"/>
      <c r="D27" s="46"/>
      <c r="E27" s="46"/>
      <c r="F27" s="46"/>
      <c r="G27" s="46"/>
      <c r="H27" s="46"/>
      <c r="I27" s="46"/>
      <c r="J27" s="46"/>
      <c r="K27" s="46"/>
      <c r="L27" s="46"/>
      <c r="M27" s="46"/>
      <c r="N27" s="46"/>
      <c r="O27" s="46"/>
      <c r="P27" s="46"/>
      <c r="Q27" s="46"/>
      <c r="R27" s="46"/>
      <c r="S27" s="46"/>
      <c r="T27" s="46"/>
    </row>
    <row r="28" spans="1:20" ht="15">
      <c r="A28" s="46" t="s">
        <v>214</v>
      </c>
      <c r="B28" s="46"/>
      <c r="C28" s="46"/>
      <c r="D28" s="46"/>
      <c r="E28" s="46"/>
      <c r="F28" s="46"/>
      <c r="G28" s="46"/>
      <c r="H28" s="46"/>
      <c r="I28" s="46"/>
      <c r="J28" s="46"/>
      <c r="K28" s="46"/>
      <c r="L28" s="46"/>
      <c r="M28" s="46"/>
      <c r="N28" s="46"/>
      <c r="O28" s="46"/>
      <c r="P28" s="46"/>
      <c r="Q28" s="46"/>
      <c r="R28" s="46"/>
      <c r="S28" s="46"/>
      <c r="T28" s="46"/>
    </row>
    <row r="29" spans="1:20" ht="15">
      <c r="A29" s="46"/>
      <c r="B29" s="46"/>
      <c r="C29" s="46"/>
      <c r="D29" s="46"/>
      <c r="E29" s="46"/>
      <c r="F29" s="46"/>
      <c r="G29" s="46"/>
      <c r="H29" s="46"/>
      <c r="I29" s="46"/>
      <c r="J29" s="46"/>
      <c r="K29" s="46"/>
      <c r="L29" s="46"/>
      <c r="M29" s="46"/>
      <c r="N29" s="46"/>
      <c r="O29" s="46"/>
      <c r="P29" s="46"/>
      <c r="Q29" s="46"/>
      <c r="R29" s="46"/>
      <c r="S29" s="46"/>
      <c r="T29" s="46"/>
    </row>
    <row r="30" spans="1:20" ht="15">
      <c r="A30" s="46"/>
      <c r="B30" s="46"/>
      <c r="C30" s="46"/>
      <c r="D30" s="46"/>
      <c r="E30" s="46"/>
      <c r="F30" s="46"/>
      <c r="G30" s="46"/>
      <c r="H30" s="46"/>
      <c r="I30" s="46"/>
      <c r="J30" s="46"/>
      <c r="K30" s="46"/>
      <c r="L30" s="46"/>
      <c r="M30" s="46"/>
      <c r="N30" s="46"/>
      <c r="O30" s="46"/>
      <c r="P30" s="46"/>
      <c r="Q30" s="46"/>
      <c r="R30" s="46"/>
      <c r="S30" s="46"/>
      <c r="T30" s="46"/>
    </row>
    <row r="31" spans="1:20" ht="15">
      <c r="A31" s="46"/>
      <c r="B31" s="46"/>
      <c r="C31" s="46"/>
      <c r="D31" s="46"/>
      <c r="E31" s="46"/>
      <c r="F31" s="46"/>
      <c r="G31" s="46"/>
      <c r="H31" s="46"/>
      <c r="I31" s="46"/>
      <c r="J31" s="46"/>
      <c r="K31" s="46"/>
      <c r="L31" s="46"/>
      <c r="M31" s="46"/>
      <c r="N31" s="46"/>
      <c r="O31" s="46"/>
      <c r="P31" s="46"/>
      <c r="Q31" s="46"/>
      <c r="R31" s="46"/>
      <c r="S31" s="46"/>
      <c r="T31" s="46"/>
    </row>
    <row r="32" spans="1:20" ht="15">
      <c r="A32" s="46"/>
      <c r="B32" s="46"/>
      <c r="C32" s="46"/>
      <c r="D32" s="46"/>
      <c r="E32" s="46"/>
      <c r="F32" s="46"/>
      <c r="G32" s="46"/>
      <c r="H32" s="46"/>
      <c r="I32" s="46"/>
      <c r="J32" s="46"/>
      <c r="K32" s="46"/>
      <c r="L32" s="46"/>
      <c r="M32" s="46"/>
      <c r="N32" s="46"/>
      <c r="O32" s="46"/>
      <c r="P32" s="46"/>
      <c r="Q32" s="46"/>
      <c r="R32" s="46"/>
      <c r="S32" s="46"/>
      <c r="T32" s="46"/>
    </row>
    <row r="33" spans="1:20" ht="15">
      <c r="A33" s="46"/>
      <c r="B33" s="46"/>
      <c r="C33" s="46"/>
      <c r="D33" s="46"/>
      <c r="E33" s="46"/>
      <c r="F33" s="46"/>
      <c r="G33" s="46"/>
      <c r="H33" s="46"/>
      <c r="I33" s="46"/>
      <c r="J33" s="46"/>
      <c r="K33" s="46"/>
      <c r="L33" s="46"/>
      <c r="M33" s="46"/>
      <c r="N33" s="46"/>
      <c r="O33" s="46"/>
      <c r="P33" s="46"/>
      <c r="Q33" s="46"/>
      <c r="R33" s="46"/>
      <c r="S33" s="46"/>
      <c r="T33" s="46"/>
    </row>
    <row r="34" spans="1:20" ht="15">
      <c r="A34" s="9" t="s">
        <v>173</v>
      </c>
      <c r="B34" s="46"/>
      <c r="C34" s="46"/>
      <c r="D34" s="46"/>
      <c r="E34" s="46"/>
      <c r="F34" s="46"/>
      <c r="G34" s="46"/>
      <c r="H34" s="46"/>
      <c r="I34" s="46"/>
      <c r="J34" s="46"/>
      <c r="K34" s="46"/>
      <c r="L34" s="46"/>
      <c r="M34" s="46"/>
      <c r="N34" s="46"/>
      <c r="O34" s="46"/>
      <c r="P34" s="46"/>
      <c r="Q34" s="46"/>
      <c r="R34" s="46"/>
      <c r="S34" s="46"/>
      <c r="T34" s="46"/>
    </row>
    <row r="35" spans="2:20" ht="15">
      <c r="B35" s="46"/>
      <c r="C35" s="46"/>
      <c r="D35" s="46"/>
      <c r="E35" s="46"/>
      <c r="F35" s="46"/>
      <c r="G35" s="46"/>
      <c r="H35" s="46"/>
      <c r="I35" s="46"/>
      <c r="J35" s="46"/>
      <c r="K35" s="46"/>
      <c r="L35" s="46"/>
      <c r="M35" s="46"/>
      <c r="N35" s="46"/>
      <c r="O35" s="46"/>
      <c r="P35" s="46"/>
      <c r="Q35" s="46"/>
      <c r="R35" s="46"/>
      <c r="S35" s="46"/>
      <c r="T35" s="46"/>
    </row>
    <row r="36" spans="2:20" ht="15">
      <c r="B36" s="46"/>
      <c r="C36" s="46"/>
      <c r="D36" s="46"/>
      <c r="E36" s="46"/>
      <c r="F36" s="46"/>
      <c r="G36" s="46"/>
      <c r="H36" s="46"/>
      <c r="I36" s="46"/>
      <c r="J36" s="46"/>
      <c r="K36" s="46"/>
      <c r="L36" s="46"/>
      <c r="M36" s="46"/>
      <c r="N36" s="46"/>
      <c r="O36" s="46"/>
      <c r="P36" s="46"/>
      <c r="Q36" s="46"/>
      <c r="R36" s="46"/>
      <c r="S36" s="46"/>
      <c r="T36" s="46"/>
    </row>
    <row r="37" spans="1:20" ht="15">
      <c r="A37" s="46"/>
      <c r="B37" s="46"/>
      <c r="C37" s="46"/>
      <c r="D37" s="46"/>
      <c r="E37" s="46"/>
      <c r="F37" s="46"/>
      <c r="G37" s="46"/>
      <c r="H37" s="46"/>
      <c r="I37" s="46"/>
      <c r="J37" s="46"/>
      <c r="K37" s="46"/>
      <c r="L37" s="46"/>
      <c r="M37" s="46"/>
      <c r="N37" s="46"/>
      <c r="O37" s="46"/>
      <c r="P37" s="46"/>
      <c r="Q37" s="46"/>
      <c r="R37" s="46"/>
      <c r="S37" s="46"/>
      <c r="T37" s="46"/>
    </row>
    <row r="38" spans="1:20" ht="15">
      <c r="A38" s="46"/>
      <c r="B38" s="46"/>
      <c r="C38" s="46"/>
      <c r="D38" s="46"/>
      <c r="E38" s="46"/>
      <c r="F38" s="46"/>
      <c r="G38" s="46"/>
      <c r="H38" s="46"/>
      <c r="I38" s="46"/>
      <c r="J38" s="46"/>
      <c r="K38" s="46"/>
      <c r="L38" s="46"/>
      <c r="M38" s="46"/>
      <c r="N38" s="46"/>
      <c r="O38" s="46"/>
      <c r="P38" s="46"/>
      <c r="Q38" s="46"/>
      <c r="R38" s="46"/>
      <c r="S38" s="46"/>
      <c r="T38" s="46"/>
    </row>
    <row r="39" spans="1:16" ht="18">
      <c r="A39" s="657" t="s">
        <v>174</v>
      </c>
      <c r="B39" s="657"/>
      <c r="C39" s="657"/>
      <c r="D39" s="657"/>
      <c r="E39" s="657"/>
      <c r="F39" s="657"/>
      <c r="G39" s="657"/>
      <c r="H39" s="657"/>
      <c r="I39" s="657"/>
      <c r="J39" s="657"/>
      <c r="K39" s="657"/>
      <c r="L39" s="657"/>
      <c r="M39" s="657"/>
      <c r="N39" s="657"/>
      <c r="O39" s="657"/>
      <c r="P39" s="657"/>
    </row>
    <row r="40" spans="1:16" ht="20.25" customHeight="1">
      <c r="A40" s="735" t="s">
        <v>175</v>
      </c>
      <c r="B40" s="735"/>
      <c r="C40" s="735"/>
      <c r="D40" s="735"/>
      <c r="E40" s="735"/>
      <c r="F40" s="735"/>
      <c r="G40" s="735"/>
      <c r="H40" s="735"/>
      <c r="I40" s="735"/>
      <c r="J40" s="735"/>
      <c r="K40" s="735"/>
      <c r="L40" s="735"/>
      <c r="M40" s="735"/>
      <c r="N40" s="735"/>
      <c r="O40" s="735"/>
      <c r="P40" s="735"/>
    </row>
    <row r="41" spans="1:17" ht="16.5" customHeight="1">
      <c r="A41" s="9" t="s">
        <v>176</v>
      </c>
      <c r="E41" s="774" t="str">
        <f>'47 Out'!Y6</f>
        <v>2008</v>
      </c>
      <c r="F41" s="774"/>
      <c r="J41" s="9" t="s">
        <v>51</v>
      </c>
      <c r="L41" s="627">
        <f>'47 Out'!V8</f>
        <v>20080308091</v>
      </c>
      <c r="M41" s="627"/>
      <c r="N41" s="627"/>
      <c r="O41" s="627"/>
      <c r="P41" s="627"/>
      <c r="Q41" s="627"/>
    </row>
    <row r="42" ht="4.5" customHeight="1"/>
    <row r="43" spans="1:17" ht="16.5" customHeight="1">
      <c r="A43" s="9" t="s">
        <v>177</v>
      </c>
      <c r="E43" s="775" t="str">
        <f>Data!D44</f>
        <v>Nizamabad</v>
      </c>
      <c r="F43" s="775"/>
      <c r="G43" s="775"/>
      <c r="H43" s="775"/>
      <c r="I43" s="775"/>
      <c r="J43" s="9" t="s">
        <v>178</v>
      </c>
      <c r="L43" s="776" t="str">
        <f>CONCATENATE('47 Out'!V9,", ",'47 Out'!AI9)</f>
        <v>0, Kama Reddy</v>
      </c>
      <c r="M43" s="776"/>
      <c r="N43" s="776"/>
      <c r="O43" s="776"/>
      <c r="P43" s="776"/>
      <c r="Q43" s="776"/>
    </row>
    <row r="44" ht="4.5" customHeight="1"/>
    <row r="45" spans="1:13" ht="16.5" customHeight="1">
      <c r="A45" s="9" t="s">
        <v>179</v>
      </c>
      <c r="E45" s="16" t="s">
        <v>180</v>
      </c>
      <c r="J45" s="9" t="s">
        <v>181</v>
      </c>
      <c r="M45" s="16" t="s">
        <v>182</v>
      </c>
    </row>
    <row r="46" spans="1:17" ht="5.25" customHeight="1" thickBot="1">
      <c r="A46" s="17"/>
      <c r="B46" s="17"/>
      <c r="C46" s="17"/>
      <c r="D46" s="17"/>
      <c r="E46" s="17"/>
      <c r="F46" s="17"/>
      <c r="G46" s="17"/>
      <c r="H46" s="17"/>
      <c r="I46" s="17"/>
      <c r="J46" s="17"/>
      <c r="K46" s="17"/>
      <c r="L46" s="17"/>
      <c r="M46" s="17"/>
      <c r="N46" s="17"/>
      <c r="O46" s="17"/>
      <c r="P46" s="17"/>
      <c r="Q46" s="17"/>
    </row>
    <row r="47" ht="4.5" customHeight="1" thickBot="1"/>
    <row r="48" spans="1:12" ht="17.25" customHeight="1">
      <c r="A48" s="18" t="s">
        <v>183</v>
      </c>
      <c r="B48" s="19"/>
      <c r="C48" s="20"/>
      <c r="E48" s="21">
        <f>'47 Out'!V15</f>
        <v>2</v>
      </c>
      <c r="F48" s="21">
        <f>'47 Out'!W15</f>
        <v>2</v>
      </c>
      <c r="G48" s="21">
        <f>'47 Out'!X15</f>
        <v>0</v>
      </c>
      <c r="H48" s="21">
        <f>'47 Out'!Y15</f>
        <v>2</v>
      </c>
      <c r="I48" s="22"/>
      <c r="J48" s="23">
        <f>'47 Out'!AA15</f>
        <v>0</v>
      </c>
      <c r="K48" s="22"/>
      <c r="L48" s="22"/>
    </row>
    <row r="49" spans="1:8" ht="6" customHeight="1">
      <c r="A49" s="24"/>
      <c r="B49" s="25"/>
      <c r="C49" s="26"/>
      <c r="E49" s="27"/>
      <c r="F49" s="27"/>
      <c r="G49" s="27"/>
      <c r="H49" s="27"/>
    </row>
    <row r="50" spans="1:10" ht="17.25" customHeight="1">
      <c r="A50" s="24" t="s">
        <v>184</v>
      </c>
      <c r="B50" s="25"/>
      <c r="C50" s="26"/>
      <c r="E50" s="21">
        <v>0</v>
      </c>
      <c r="F50" s="21">
        <f>'47 Out'!W17</f>
        <v>0</v>
      </c>
      <c r="G50" s="27"/>
      <c r="H50" s="27"/>
      <c r="J50" s="9">
        <f>'47 Out'!AA17</f>
        <v>0</v>
      </c>
    </row>
    <row r="51" spans="1:8" ht="5.25" customHeight="1">
      <c r="A51" s="24"/>
      <c r="B51" s="25"/>
      <c r="C51" s="26"/>
      <c r="E51" s="27"/>
      <c r="F51" s="27"/>
      <c r="G51" s="27"/>
      <c r="H51" s="27"/>
    </row>
    <row r="52" spans="1:17" ht="24.75" customHeight="1">
      <c r="A52" s="24"/>
      <c r="B52" s="25"/>
      <c r="C52" s="26"/>
      <c r="E52" s="21">
        <f>'47 Out'!V19</f>
        <v>1</v>
      </c>
      <c r="F52" s="21">
        <f>'47 Out'!W19</f>
        <v>0</v>
      </c>
      <c r="G52" s="21">
        <f>'47 Out'!X19</f>
        <v>0</v>
      </c>
      <c r="H52" s="27"/>
      <c r="J52" s="776">
        <f>'47 Out'!Z19</f>
        <v>0</v>
      </c>
      <c r="K52" s="776"/>
      <c r="L52" s="776"/>
      <c r="M52" s="776"/>
      <c r="N52" s="776"/>
      <c r="O52" s="776"/>
      <c r="P52" s="776"/>
      <c r="Q52" s="776"/>
    </row>
    <row r="53" spans="1:8" ht="5.25" customHeight="1">
      <c r="A53" s="24"/>
      <c r="B53" s="25"/>
      <c r="C53" s="26"/>
      <c r="E53" s="27"/>
      <c r="F53" s="27"/>
      <c r="G53" s="27"/>
      <c r="H53" s="27"/>
    </row>
    <row r="54" spans="1:8" ht="10.5" customHeight="1">
      <c r="A54" s="24"/>
      <c r="B54" s="25"/>
      <c r="C54" s="26"/>
      <c r="E54" s="21" t="s">
        <v>1</v>
      </c>
      <c r="F54" s="21" t="s">
        <v>1</v>
      </c>
      <c r="G54" s="27"/>
      <c r="H54" s="27"/>
    </row>
    <row r="55" spans="1:8" ht="3.75" customHeight="1">
      <c r="A55" s="24"/>
      <c r="B55" s="25"/>
      <c r="C55" s="26"/>
      <c r="E55" s="27"/>
      <c r="F55" s="27"/>
      <c r="G55" s="27"/>
      <c r="H55" s="27"/>
    </row>
    <row r="56" spans="1:10" ht="17.25" customHeight="1">
      <c r="A56" s="24"/>
      <c r="B56" s="25"/>
      <c r="C56" s="26"/>
      <c r="E56" s="21">
        <v>0</v>
      </c>
      <c r="F56" s="21">
        <f>'47 Out'!X23</f>
        <v>0</v>
      </c>
      <c r="G56" s="27"/>
      <c r="H56" s="27"/>
      <c r="J56" s="9">
        <f>'47 Out'!Z22</f>
        <v>0</v>
      </c>
    </row>
    <row r="57" spans="1:8" ht="4.5" customHeight="1">
      <c r="A57" s="24"/>
      <c r="B57" s="25"/>
      <c r="C57" s="26"/>
      <c r="E57" s="27"/>
      <c r="F57" s="27"/>
      <c r="G57" s="27"/>
      <c r="H57" s="27"/>
    </row>
    <row r="58" spans="1:10" ht="14.25" customHeight="1" thickBot="1">
      <c r="A58" s="28"/>
      <c r="B58" s="17"/>
      <c r="C58" s="29"/>
      <c r="E58" s="21">
        <v>0</v>
      </c>
      <c r="F58" s="21">
        <v>1</v>
      </c>
      <c r="G58" s="21">
        <v>0</v>
      </c>
      <c r="H58" s="27"/>
      <c r="J58" s="9" t="s">
        <v>104</v>
      </c>
    </row>
    <row r="59" spans="1:17" ht="6.75" customHeight="1" thickBot="1">
      <c r="A59" s="17"/>
      <c r="B59" s="17"/>
      <c r="C59" s="17"/>
      <c r="D59" s="17"/>
      <c r="E59" s="17"/>
      <c r="F59" s="17"/>
      <c r="G59" s="17"/>
      <c r="H59" s="17"/>
      <c r="I59" s="17"/>
      <c r="J59" s="17"/>
      <c r="K59" s="17"/>
      <c r="L59" s="17"/>
      <c r="M59" s="17"/>
      <c r="N59" s="17"/>
      <c r="O59" s="17"/>
      <c r="P59" s="17"/>
      <c r="Q59" s="17"/>
    </row>
    <row r="60" spans="2:14" ht="12.75" customHeight="1">
      <c r="B60" s="9" t="s">
        <v>185</v>
      </c>
      <c r="C60" s="30"/>
      <c r="D60" s="30"/>
      <c r="E60" s="30"/>
      <c r="F60" s="30"/>
      <c r="G60" s="30"/>
      <c r="H60" s="779"/>
      <c r="I60" s="777"/>
      <c r="J60" s="777"/>
      <c r="K60" s="777"/>
      <c r="L60" s="777"/>
      <c r="M60" s="777"/>
      <c r="N60" s="777"/>
    </row>
    <row r="61" spans="2:14" ht="4.5" customHeight="1">
      <c r="B61" s="30"/>
      <c r="C61" s="30"/>
      <c r="D61" s="30"/>
      <c r="E61" s="30"/>
      <c r="F61" s="30"/>
      <c r="G61" s="30"/>
      <c r="H61" s="30"/>
      <c r="I61" s="30"/>
      <c r="J61" s="30"/>
      <c r="K61" s="30"/>
      <c r="L61" s="30"/>
      <c r="M61" s="30"/>
      <c r="N61" s="30"/>
    </row>
    <row r="62" spans="2:14" ht="12.75" customHeight="1">
      <c r="B62" s="9" t="s">
        <v>186</v>
      </c>
      <c r="C62" s="30"/>
      <c r="D62" s="30"/>
      <c r="E62" s="30"/>
      <c r="F62" s="30"/>
      <c r="G62" s="30"/>
      <c r="H62" s="777"/>
      <c r="I62" s="777"/>
      <c r="J62" s="777"/>
      <c r="K62" s="777"/>
      <c r="L62" s="777"/>
      <c r="M62" s="777"/>
      <c r="N62" s="777"/>
    </row>
    <row r="63" spans="1:17" ht="6" customHeight="1" thickBot="1">
      <c r="A63" s="17"/>
      <c r="B63" s="17"/>
      <c r="C63" s="17"/>
      <c r="D63" s="17"/>
      <c r="E63" s="17"/>
      <c r="F63" s="17"/>
      <c r="G63" s="17"/>
      <c r="H63" s="17"/>
      <c r="I63" s="17"/>
      <c r="J63" s="17"/>
      <c r="K63" s="17"/>
      <c r="L63" s="17"/>
      <c r="M63" s="17"/>
      <c r="N63" s="17"/>
      <c r="O63" s="17"/>
      <c r="P63" s="17"/>
      <c r="Q63" s="17"/>
    </row>
    <row r="64" ht="5.25" customHeight="1"/>
    <row r="65" spans="2:10" ht="15" customHeight="1">
      <c r="B65" s="16" t="s">
        <v>187</v>
      </c>
      <c r="F65" s="778"/>
      <c r="G65" s="778"/>
      <c r="H65" s="778"/>
      <c r="I65" s="778"/>
      <c r="J65" s="778"/>
    </row>
    <row r="66" ht="5.25" customHeight="1"/>
    <row r="67" spans="3:16" ht="15.75" customHeight="1">
      <c r="C67" s="776" t="str">
        <f>'47 In'!P34</f>
        <v>Pass Per Rs.450/- (Four Hundred and Fifty rupees only)</v>
      </c>
      <c r="D67" s="776"/>
      <c r="E67" s="776"/>
      <c r="F67" s="776"/>
      <c r="G67" s="776"/>
      <c r="H67" s="776"/>
      <c r="I67" s="776"/>
      <c r="J67" s="776"/>
      <c r="K67" s="776"/>
      <c r="L67" s="776"/>
      <c r="M67" s="776"/>
      <c r="N67" s="776"/>
      <c r="O67" s="776"/>
      <c r="P67" s="776"/>
    </row>
    <row r="68" spans="3:16" ht="15.75" customHeight="1">
      <c r="C68" s="776"/>
      <c r="D68" s="776"/>
      <c r="E68" s="776"/>
      <c r="F68" s="776"/>
      <c r="G68" s="776"/>
      <c r="H68" s="776"/>
      <c r="I68" s="776"/>
      <c r="J68" s="776"/>
      <c r="K68" s="776"/>
      <c r="L68" s="776"/>
      <c r="M68" s="776"/>
      <c r="N68" s="776"/>
      <c r="O68" s="776"/>
      <c r="P68" s="776"/>
    </row>
    <row r="70" ht="21" customHeight="1"/>
    <row r="71" spans="2:12" ht="29.25" customHeight="1">
      <c r="B71" s="9" t="s">
        <v>188</v>
      </c>
      <c r="L71" s="9" t="s">
        <v>189</v>
      </c>
    </row>
    <row r="72" ht="29.25" customHeight="1"/>
    <row r="73" ht="29.25" customHeight="1"/>
    <row r="74" spans="1:17" ht="25.5" customHeight="1">
      <c r="A74" s="756" t="str">
        <f>CONCATENATE(Data!O83," Increment Arrears ",Data!AH104," Statement")</f>
        <v>SG Increment Arrears AGGPF Statement</v>
      </c>
      <c r="B74" s="756"/>
      <c r="C74" s="756"/>
      <c r="D74" s="756"/>
      <c r="E74" s="756"/>
      <c r="F74" s="756"/>
      <c r="G74" s="756"/>
      <c r="H74" s="756"/>
      <c r="I74" s="756"/>
      <c r="J74" s="756"/>
      <c r="K74" s="756"/>
      <c r="L74" s="756"/>
      <c r="M74" s="756"/>
      <c r="N74" s="756"/>
      <c r="O74" s="756"/>
      <c r="P74" s="756"/>
      <c r="Q74" s="756"/>
    </row>
    <row r="75" ht="6" customHeight="1"/>
    <row r="76" ht="18.75" customHeight="1"/>
    <row r="77" ht="11.25" customHeight="1"/>
    <row r="78" spans="1:20" ht="18" customHeight="1">
      <c r="A78" s="16" t="str">
        <f>A148</f>
        <v>DDO Code</v>
      </c>
      <c r="B78" s="16"/>
      <c r="C78" s="16"/>
      <c r="D78" s="16"/>
      <c r="E78" s="714">
        <f>E148</f>
        <v>20080308091</v>
      </c>
      <c r="F78" s="714"/>
      <c r="G78" s="714"/>
      <c r="H78" s="714"/>
      <c r="I78" s="714"/>
      <c r="J78" s="16"/>
      <c r="K78" s="16"/>
      <c r="L78" s="16"/>
      <c r="M78" s="16"/>
      <c r="N78" s="16"/>
      <c r="O78" s="16"/>
      <c r="P78" s="16"/>
      <c r="Q78" s="16"/>
      <c r="R78" s="16"/>
      <c r="S78" s="16"/>
      <c r="T78" s="16"/>
    </row>
    <row r="79" ht="6.75" customHeight="1"/>
    <row r="80" spans="1:5" ht="26.25" customHeight="1">
      <c r="A80" s="9" t="str">
        <f>A149</f>
        <v>DDO Name &amp; Desig:</v>
      </c>
      <c r="E80" s="9" t="str">
        <f>E149</f>
        <v>0, Kama Reddy</v>
      </c>
    </row>
    <row r="82" spans="1:20" ht="36" customHeight="1">
      <c r="A82" s="284" t="s">
        <v>26</v>
      </c>
      <c r="B82" s="757" t="s">
        <v>554</v>
      </c>
      <c r="C82" s="758"/>
      <c r="D82" s="758"/>
      <c r="E82" s="758"/>
      <c r="F82" s="758"/>
      <c r="G82" s="759"/>
      <c r="H82" s="718" t="s">
        <v>555</v>
      </c>
      <c r="I82" s="719"/>
      <c r="J82" s="720"/>
      <c r="K82" s="718" t="s">
        <v>556</v>
      </c>
      <c r="L82" s="719"/>
      <c r="M82" s="720"/>
      <c r="N82" s="718" t="s">
        <v>81</v>
      </c>
      <c r="O82" s="719"/>
      <c r="P82" s="719"/>
      <c r="Q82" s="720"/>
      <c r="R82" s="285"/>
      <c r="S82" s="285"/>
      <c r="T82" s="285"/>
    </row>
    <row r="83" spans="1:17" ht="25.5" customHeight="1">
      <c r="A83" s="722">
        <v>1</v>
      </c>
      <c r="B83" s="736" t="str">
        <f>B129</f>
        <v>Sri. G.Ravinder Reddy</v>
      </c>
      <c r="C83" s="736"/>
      <c r="D83" s="736"/>
      <c r="E83" s="736"/>
      <c r="F83" s="736"/>
      <c r="G83" s="736"/>
      <c r="H83" s="737" t="str">
        <f>Data!P22</f>
        <v>2026141</v>
      </c>
      <c r="I83" s="738"/>
      <c r="J83" s="739"/>
      <c r="K83" s="743">
        <f>Data!O46</f>
        <v>123456</v>
      </c>
      <c r="L83" s="744"/>
      <c r="M83" s="745"/>
      <c r="N83" s="743">
        <f>IF(Data!AG104=3,"CPS","")</f>
      </c>
      <c r="O83" s="744"/>
      <c r="P83" s="752">
        <f>IF(Data!AG104=3,'47 In'!X32,"")</f>
      </c>
      <c r="Q83" s="753"/>
    </row>
    <row r="84" spans="1:17" ht="25.5" customHeight="1">
      <c r="A84" s="723"/>
      <c r="B84" s="736" t="str">
        <f>Data!C90</f>
        <v>Surveyar</v>
      </c>
      <c r="C84" s="736"/>
      <c r="D84" s="736"/>
      <c r="E84" s="736"/>
      <c r="F84" s="736"/>
      <c r="G84" s="736"/>
      <c r="H84" s="737"/>
      <c r="I84" s="738"/>
      <c r="J84" s="739"/>
      <c r="K84" s="746"/>
      <c r="L84" s="747"/>
      <c r="M84" s="748"/>
      <c r="N84" s="746">
        <f>IF(Data!AG104=3,"CSS","")</f>
      </c>
      <c r="O84" s="747"/>
      <c r="P84" s="754">
        <f>IF(Data!AG104=3,'47 In'!Y32,'47 In'!X32)</f>
        <v>6959</v>
      </c>
      <c r="Q84" s="755"/>
    </row>
    <row r="85" spans="1:17" ht="25.5" customHeight="1">
      <c r="A85" s="724"/>
      <c r="B85" s="736" t="str">
        <f>Data!L4</f>
        <v>AD, Mineing </v>
      </c>
      <c r="C85" s="736"/>
      <c r="D85" s="736"/>
      <c r="E85" s="736"/>
      <c r="F85" s="736"/>
      <c r="G85" s="736"/>
      <c r="H85" s="740"/>
      <c r="I85" s="741"/>
      <c r="J85" s="742"/>
      <c r="K85" s="749"/>
      <c r="L85" s="750"/>
      <c r="M85" s="751"/>
      <c r="N85" s="286"/>
      <c r="O85" s="287"/>
      <c r="P85" s="287"/>
      <c r="Q85" s="288"/>
    </row>
    <row r="86" spans="1:17" ht="42.75" customHeight="1">
      <c r="A86" s="708" t="s">
        <v>2</v>
      </c>
      <c r="B86" s="709"/>
      <c r="C86" s="709"/>
      <c r="D86" s="709"/>
      <c r="E86" s="709"/>
      <c r="F86" s="709"/>
      <c r="G86" s="709"/>
      <c r="H86" s="709"/>
      <c r="I86" s="709"/>
      <c r="J86" s="709"/>
      <c r="K86" s="709"/>
      <c r="L86" s="709"/>
      <c r="M86" s="710"/>
      <c r="N86" s="731">
        <f>SUM(P83:Q85)</f>
        <v>6959</v>
      </c>
      <c r="O86" s="732"/>
      <c r="P86" s="732"/>
      <c r="Q86" s="733"/>
    </row>
    <row r="91" spans="11:17" ht="15">
      <c r="K91" s="734" t="s">
        <v>188</v>
      </c>
      <c r="L91" s="734"/>
      <c r="M91" s="734"/>
      <c r="N91" s="734"/>
      <c r="O91" s="734"/>
      <c r="P91" s="734"/>
      <c r="Q91" s="734"/>
    </row>
    <row r="92" spans="11:17" ht="15">
      <c r="K92" s="734"/>
      <c r="L92" s="734"/>
      <c r="M92" s="734"/>
      <c r="N92" s="734"/>
      <c r="O92" s="734"/>
      <c r="P92" s="734"/>
      <c r="Q92" s="734"/>
    </row>
    <row r="93" spans="11:17" ht="15">
      <c r="K93" s="289"/>
      <c r="L93" s="289"/>
      <c r="M93" s="289"/>
      <c r="N93" s="289"/>
      <c r="O93" s="289"/>
      <c r="P93" s="289"/>
      <c r="Q93" s="289"/>
    </row>
    <row r="94" spans="11:17" ht="15">
      <c r="K94" s="289"/>
      <c r="L94" s="289"/>
      <c r="M94" s="289"/>
      <c r="N94" s="289"/>
      <c r="O94" s="289"/>
      <c r="P94" s="289"/>
      <c r="Q94" s="289"/>
    </row>
    <row r="95" spans="11:17" ht="15">
      <c r="K95" s="289"/>
      <c r="L95" s="289"/>
      <c r="M95" s="289"/>
      <c r="N95" s="289"/>
      <c r="O95" s="289"/>
      <c r="P95" s="289"/>
      <c r="Q95" s="289"/>
    </row>
    <row r="96" spans="11:17" ht="15">
      <c r="K96" s="289"/>
      <c r="L96" s="289"/>
      <c r="M96" s="289"/>
      <c r="N96" s="289"/>
      <c r="O96" s="289"/>
      <c r="P96" s="289"/>
      <c r="Q96" s="289"/>
    </row>
    <row r="99" ht="15">
      <c r="A99" s="9" t="s">
        <v>195</v>
      </c>
    </row>
    <row r="104" spans="1:17" ht="28.5" customHeight="1">
      <c r="A104" s="654" t="str">
        <f>A74</f>
        <v>SG Increment Arrears AGGPF Statement</v>
      </c>
      <c r="B104" s="654"/>
      <c r="C104" s="654"/>
      <c r="D104" s="654"/>
      <c r="E104" s="654"/>
      <c r="F104" s="654"/>
      <c r="G104" s="654"/>
      <c r="H104" s="654"/>
      <c r="I104" s="654"/>
      <c r="J104" s="654"/>
      <c r="K104" s="654"/>
      <c r="L104" s="654"/>
      <c r="M104" s="654"/>
      <c r="N104" s="654"/>
      <c r="O104" s="654"/>
      <c r="P104" s="654"/>
      <c r="Q104" s="654"/>
    </row>
    <row r="105" ht="3.75" customHeight="1"/>
    <row r="106" spans="1:17" ht="27" customHeight="1">
      <c r="A106" s="735"/>
      <c r="B106" s="735"/>
      <c r="C106" s="735"/>
      <c r="D106" s="735"/>
      <c r="E106" s="735"/>
      <c r="F106" s="735"/>
      <c r="G106" s="735"/>
      <c r="H106" s="735"/>
      <c r="I106" s="735"/>
      <c r="J106" s="735"/>
      <c r="K106" s="735"/>
      <c r="L106" s="735"/>
      <c r="M106" s="735"/>
      <c r="N106" s="735"/>
      <c r="O106" s="735"/>
      <c r="P106" s="735"/>
      <c r="Q106" s="735"/>
    </row>
    <row r="107" ht="6" customHeight="1"/>
    <row r="108" spans="1:9" ht="21.75" customHeight="1">
      <c r="A108" s="16" t="str">
        <f>A78</f>
        <v>DDO Code</v>
      </c>
      <c r="E108" s="714">
        <f>E78</f>
        <v>20080308091</v>
      </c>
      <c r="F108" s="714"/>
      <c r="G108" s="714"/>
      <c r="H108" s="714"/>
      <c r="I108" s="714"/>
    </row>
    <row r="109" ht="4.5" customHeight="1"/>
    <row r="110" spans="1:5" ht="21.75" customHeight="1">
      <c r="A110" s="9" t="str">
        <f>A80</f>
        <v>DDO Name &amp; Desig:</v>
      </c>
      <c r="E110" s="9" t="str">
        <f>E80</f>
        <v>0, Kama Reddy</v>
      </c>
    </row>
    <row r="111" ht="8.25" customHeight="1"/>
    <row r="112" spans="1:17" ht="39.75" customHeight="1">
      <c r="A112" s="284" t="s">
        <v>26</v>
      </c>
      <c r="B112" s="715" t="s">
        <v>554</v>
      </c>
      <c r="C112" s="716"/>
      <c r="D112" s="716"/>
      <c r="E112" s="716"/>
      <c r="F112" s="716"/>
      <c r="G112" s="717"/>
      <c r="H112" s="718" t="s">
        <v>555</v>
      </c>
      <c r="I112" s="719"/>
      <c r="J112" s="720"/>
      <c r="K112" s="718" t="s">
        <v>556</v>
      </c>
      <c r="L112" s="719"/>
      <c r="M112" s="720"/>
      <c r="N112" s="680" t="s">
        <v>81</v>
      </c>
      <c r="O112" s="721"/>
      <c r="P112" s="721"/>
      <c r="Q112" s="681"/>
    </row>
    <row r="113" spans="1:17" ht="25.5" customHeight="1">
      <c r="A113" s="722">
        <v>1</v>
      </c>
      <c r="B113" s="702" t="str">
        <f>B83</f>
        <v>Sri. G.Ravinder Reddy</v>
      </c>
      <c r="C113" s="703"/>
      <c r="D113" s="703"/>
      <c r="E113" s="703"/>
      <c r="F113" s="703"/>
      <c r="G113" s="704"/>
      <c r="H113" s="725" t="str">
        <f>H83</f>
        <v>2026141</v>
      </c>
      <c r="I113" s="726"/>
      <c r="J113" s="727"/>
      <c r="K113" s="639">
        <f>K83</f>
        <v>123456</v>
      </c>
      <c r="L113" s="640"/>
      <c r="M113" s="640"/>
      <c r="N113" s="639"/>
      <c r="O113" s="640"/>
      <c r="P113" s="700">
        <f>P83</f>
      </c>
      <c r="Q113" s="701"/>
    </row>
    <row r="114" spans="1:17" ht="25.5" customHeight="1">
      <c r="A114" s="723"/>
      <c r="B114" s="702" t="str">
        <f>B84</f>
        <v>Surveyar</v>
      </c>
      <c r="C114" s="703"/>
      <c r="D114" s="703"/>
      <c r="E114" s="703"/>
      <c r="F114" s="703"/>
      <c r="G114" s="704"/>
      <c r="H114" s="725"/>
      <c r="I114" s="726"/>
      <c r="J114" s="727"/>
      <c r="K114" s="705"/>
      <c r="L114" s="635"/>
      <c r="M114" s="635"/>
      <c r="N114" s="705"/>
      <c r="O114" s="635"/>
      <c r="P114" s="706">
        <f>P84</f>
        <v>6959</v>
      </c>
      <c r="Q114" s="707"/>
    </row>
    <row r="115" spans="1:17" ht="25.5" customHeight="1">
      <c r="A115" s="724"/>
      <c r="B115" s="702" t="str">
        <f>B85</f>
        <v>AD, Mineing </v>
      </c>
      <c r="C115" s="703"/>
      <c r="D115" s="703"/>
      <c r="E115" s="703"/>
      <c r="F115" s="703"/>
      <c r="G115" s="704"/>
      <c r="H115" s="728"/>
      <c r="I115" s="729"/>
      <c r="J115" s="730"/>
      <c r="K115" s="641"/>
      <c r="L115" s="642"/>
      <c r="M115" s="642"/>
      <c r="N115" s="293"/>
      <c r="O115" s="294"/>
      <c r="P115" s="294"/>
      <c r="Q115" s="295"/>
    </row>
    <row r="116" spans="1:17" ht="42.75" customHeight="1">
      <c r="A116" s="708" t="s">
        <v>2</v>
      </c>
      <c r="B116" s="709"/>
      <c r="C116" s="709"/>
      <c r="D116" s="709"/>
      <c r="E116" s="709"/>
      <c r="F116" s="709"/>
      <c r="G116" s="709"/>
      <c r="H116" s="709"/>
      <c r="I116" s="709"/>
      <c r="J116" s="709"/>
      <c r="K116" s="709"/>
      <c r="L116" s="709"/>
      <c r="M116" s="710"/>
      <c r="N116" s="290"/>
      <c r="O116" s="291"/>
      <c r="P116" s="291"/>
      <c r="Q116" s="292"/>
    </row>
    <row r="117" spans="14:15" ht="15">
      <c r="N117" s="25"/>
      <c r="O117" s="25"/>
    </row>
    <row r="118" spans="14:15" ht="15">
      <c r="N118" s="25"/>
      <c r="O118" s="25"/>
    </row>
    <row r="120" ht="15">
      <c r="M120" s="9" t="s">
        <v>188</v>
      </c>
    </row>
    <row r="121" ht="18" customHeight="1"/>
    <row r="123" spans="1:17" ht="18.75">
      <c r="A123" s="780" t="s">
        <v>190</v>
      </c>
      <c r="B123" s="780"/>
      <c r="C123" s="780"/>
      <c r="D123" s="780"/>
      <c r="E123" s="780"/>
      <c r="F123" s="780"/>
      <c r="G123" s="780"/>
      <c r="H123" s="780"/>
      <c r="I123" s="780"/>
      <c r="J123" s="780"/>
      <c r="K123" s="780"/>
      <c r="L123" s="780"/>
      <c r="M123" s="780"/>
      <c r="N123" s="780"/>
      <c r="O123" s="780"/>
      <c r="P123" s="780"/>
      <c r="Q123" s="780"/>
    </row>
    <row r="124" spans="1:13" ht="20.25" customHeight="1">
      <c r="A124" s="711" t="s">
        <v>51</v>
      </c>
      <c r="B124" s="711"/>
      <c r="C124" s="711"/>
      <c r="D124" s="1"/>
      <c r="E124" s="627">
        <f>L41</f>
        <v>20080308091</v>
      </c>
      <c r="F124" s="627"/>
      <c r="G124" s="627"/>
      <c r="H124" s="627"/>
      <c r="I124" s="627"/>
      <c r="M124" s="1" t="s">
        <v>0</v>
      </c>
    </row>
    <row r="125" spans="1:13" ht="21" customHeight="1">
      <c r="A125" s="711" t="s">
        <v>191</v>
      </c>
      <c r="B125" s="711"/>
      <c r="C125" s="711"/>
      <c r="D125" s="711"/>
      <c r="E125" s="786" t="str">
        <f>L43</f>
        <v>0, Kama Reddy</v>
      </c>
      <c r="F125" s="786"/>
      <c r="G125" s="786"/>
      <c r="H125" s="786"/>
      <c r="I125" s="786"/>
      <c r="J125" s="786"/>
      <c r="K125" s="786"/>
      <c r="M125" s="1" t="s">
        <v>192</v>
      </c>
    </row>
    <row r="126" spans="1:11" ht="20.25" customHeight="1">
      <c r="A126" s="800" t="s">
        <v>193</v>
      </c>
      <c r="B126" s="800"/>
      <c r="C126" s="800"/>
      <c r="D126" s="800"/>
      <c r="E126" s="801" t="str">
        <f>Data!L48</f>
        <v>Syndicate Bank Kama Reddy</v>
      </c>
      <c r="F126" s="801"/>
      <c r="G126" s="801"/>
      <c r="H126" s="801"/>
      <c r="I126" s="801"/>
      <c r="J126" s="801"/>
      <c r="K126" s="801"/>
    </row>
    <row r="127" ht="7.5" customHeight="1"/>
    <row r="128" spans="1:17" ht="45.75" customHeight="1">
      <c r="A128" s="31" t="s">
        <v>26</v>
      </c>
      <c r="B128" s="785" t="s">
        <v>194</v>
      </c>
      <c r="C128" s="785"/>
      <c r="D128" s="785"/>
      <c r="E128" s="785"/>
      <c r="F128" s="785"/>
      <c r="G128" s="785"/>
      <c r="H128" s="785"/>
      <c r="I128" s="785" t="s">
        <v>55</v>
      </c>
      <c r="J128" s="785"/>
      <c r="K128" s="785"/>
      <c r="L128" s="785"/>
      <c r="M128" s="785"/>
      <c r="N128" s="785"/>
      <c r="O128" s="785" t="s">
        <v>81</v>
      </c>
      <c r="P128" s="785"/>
      <c r="Q128" s="785"/>
    </row>
    <row r="129" spans="1:17" ht="69.75" customHeight="1">
      <c r="A129" s="32">
        <v>1</v>
      </c>
      <c r="B129" s="797" t="str">
        <f>Data!C4</f>
        <v>Sri. G.Ravinder Reddy</v>
      </c>
      <c r="C129" s="798"/>
      <c r="D129" s="798"/>
      <c r="E129" s="798"/>
      <c r="F129" s="798"/>
      <c r="G129" s="798"/>
      <c r="H129" s="799"/>
      <c r="I129" s="791" t="str">
        <f>Data!E48</f>
        <v>35202200105291</v>
      </c>
      <c r="J129" s="792"/>
      <c r="K129" s="792"/>
      <c r="L129" s="792"/>
      <c r="M129" s="792"/>
      <c r="N129" s="793"/>
      <c r="O129" s="788">
        <f>'47 In'!Z32</f>
        <v>450</v>
      </c>
      <c r="P129" s="789"/>
      <c r="Q129" s="790"/>
    </row>
    <row r="130" spans="1:17" ht="41.25" customHeight="1">
      <c r="A130" s="712" t="s">
        <v>2</v>
      </c>
      <c r="B130" s="712"/>
      <c r="C130" s="712"/>
      <c r="D130" s="712"/>
      <c r="E130" s="712"/>
      <c r="F130" s="712"/>
      <c r="G130" s="712"/>
      <c r="H130" s="712"/>
      <c r="I130" s="712"/>
      <c r="J130" s="712"/>
      <c r="K130" s="712"/>
      <c r="L130" s="712"/>
      <c r="M130" s="712"/>
      <c r="N130" s="712"/>
      <c r="O130" s="713">
        <f>O129</f>
        <v>450</v>
      </c>
      <c r="P130" s="712"/>
      <c r="Q130" s="712"/>
    </row>
    <row r="132" spans="2:17" ht="15" customHeight="1">
      <c r="B132" s="787" t="s">
        <v>557</v>
      </c>
      <c r="C132" s="787"/>
      <c r="D132" s="699" t="str">
        <f>PROGRAMME!B384</f>
        <v>(Four Hundred and Fifty rupees only)</v>
      </c>
      <c r="E132" s="699"/>
      <c r="F132" s="699"/>
      <c r="G132" s="699"/>
      <c r="H132" s="699"/>
      <c r="I132" s="699"/>
      <c r="J132" s="699"/>
      <c r="K132" s="699"/>
      <c r="L132" s="699"/>
      <c r="M132" s="699"/>
      <c r="N132" s="699"/>
      <c r="O132" s="699"/>
      <c r="P132" s="699"/>
      <c r="Q132" s="699"/>
    </row>
    <row r="133" spans="1:20" s="16" customFormat="1" ht="15.75">
      <c r="A133" s="9"/>
      <c r="B133" s="285"/>
      <c r="C133" s="285"/>
      <c r="D133" s="699"/>
      <c r="E133" s="699"/>
      <c r="F133" s="699"/>
      <c r="G133" s="699"/>
      <c r="H133" s="699"/>
      <c r="I133" s="699"/>
      <c r="J133" s="699"/>
      <c r="K133" s="699"/>
      <c r="L133" s="699"/>
      <c r="M133" s="699"/>
      <c r="N133" s="699"/>
      <c r="O133" s="699"/>
      <c r="P133" s="699"/>
      <c r="Q133" s="699"/>
      <c r="R133" s="9"/>
      <c r="S133" s="9"/>
      <c r="T133" s="9"/>
    </row>
    <row r="138" spans="2:12" ht="24.75" customHeight="1">
      <c r="B138" s="9" t="s">
        <v>188</v>
      </c>
      <c r="L138" s="9" t="s">
        <v>189</v>
      </c>
    </row>
    <row r="139" ht="24.75" customHeight="1"/>
    <row r="140" ht="44.25" customHeight="1"/>
    <row r="142" ht="15">
      <c r="A142" s="9" t="s">
        <v>195</v>
      </c>
    </row>
    <row r="147" spans="1:17" ht="27.75" customHeight="1">
      <c r="A147" s="780" t="s">
        <v>196</v>
      </c>
      <c r="B147" s="780"/>
      <c r="C147" s="780"/>
      <c r="D147" s="780"/>
      <c r="E147" s="780"/>
      <c r="F147" s="780"/>
      <c r="G147" s="780"/>
      <c r="H147" s="780"/>
      <c r="I147" s="780"/>
      <c r="J147" s="780"/>
      <c r="K147" s="780"/>
      <c r="L147" s="780"/>
      <c r="M147" s="780"/>
      <c r="N147" s="780"/>
      <c r="O147" s="780"/>
      <c r="P147" s="780"/>
      <c r="Q147" s="780"/>
    </row>
    <row r="148" spans="1:12" ht="15.75" customHeight="1">
      <c r="A148" s="711" t="s">
        <v>51</v>
      </c>
      <c r="B148" s="711"/>
      <c r="C148" s="711"/>
      <c r="D148" s="1"/>
      <c r="E148" s="627">
        <f>E124</f>
        <v>20080308091</v>
      </c>
      <c r="F148" s="627"/>
      <c r="G148" s="627"/>
      <c r="H148" s="627"/>
      <c r="I148" s="627"/>
      <c r="L148" s="1" t="s">
        <v>0</v>
      </c>
    </row>
    <row r="149" spans="1:12" ht="15.75" customHeight="1">
      <c r="A149" s="711" t="s">
        <v>191</v>
      </c>
      <c r="B149" s="711"/>
      <c r="C149" s="711"/>
      <c r="D149" s="711"/>
      <c r="E149" s="786" t="str">
        <f>E125</f>
        <v>0, Kama Reddy</v>
      </c>
      <c r="F149" s="786"/>
      <c r="G149" s="786"/>
      <c r="H149" s="786"/>
      <c r="I149" s="786"/>
      <c r="J149" s="786"/>
      <c r="K149" s="786"/>
      <c r="L149" s="1" t="s">
        <v>192</v>
      </c>
    </row>
    <row r="150" ht="5.25" customHeight="1"/>
    <row r="151" spans="1:17" ht="26.25" customHeight="1">
      <c r="A151" s="31" t="s">
        <v>26</v>
      </c>
      <c r="B151" s="628" t="s">
        <v>197</v>
      </c>
      <c r="C151" s="629"/>
      <c r="D151" s="629"/>
      <c r="E151" s="629"/>
      <c r="F151" s="629"/>
      <c r="G151" s="629"/>
      <c r="H151" s="784"/>
      <c r="I151" s="785" t="s">
        <v>198</v>
      </c>
      <c r="J151" s="785"/>
      <c r="K151" s="785"/>
      <c r="L151" s="785"/>
      <c r="M151" s="785"/>
      <c r="N151" s="785"/>
      <c r="O151" s="785" t="s">
        <v>81</v>
      </c>
      <c r="P151" s="785"/>
      <c r="Q151" s="785"/>
    </row>
    <row r="152" spans="1:17" ht="81.75" customHeight="1">
      <c r="A152" s="32">
        <v>1</v>
      </c>
      <c r="B152" s="781" t="str">
        <f>E126</f>
        <v>Syndicate Bank Kama Reddy</v>
      </c>
      <c r="C152" s="782"/>
      <c r="D152" s="782"/>
      <c r="E152" s="782"/>
      <c r="F152" s="782"/>
      <c r="G152" s="782"/>
      <c r="H152" s="783"/>
      <c r="I152" s="794" t="s">
        <v>553</v>
      </c>
      <c r="J152" s="795"/>
      <c r="K152" s="795"/>
      <c r="L152" s="795"/>
      <c r="M152" s="795"/>
      <c r="N152" s="796"/>
      <c r="O152" s="788">
        <f>O129</f>
        <v>450</v>
      </c>
      <c r="P152" s="789"/>
      <c r="Q152" s="790"/>
    </row>
    <row r="153" spans="1:17" ht="45" customHeight="1">
      <c r="A153" s="712" t="s">
        <v>2</v>
      </c>
      <c r="B153" s="712"/>
      <c r="C153" s="712"/>
      <c r="D153" s="712"/>
      <c r="E153" s="712"/>
      <c r="F153" s="712"/>
      <c r="G153" s="712"/>
      <c r="H153" s="712"/>
      <c r="I153" s="712"/>
      <c r="J153" s="712"/>
      <c r="K153" s="712"/>
      <c r="L153" s="712"/>
      <c r="M153" s="712"/>
      <c r="N153" s="712"/>
      <c r="O153" s="713">
        <f>O152</f>
        <v>450</v>
      </c>
      <c r="P153" s="712"/>
      <c r="Q153" s="712"/>
    </row>
    <row r="155" spans="2:17" ht="15">
      <c r="B155" s="787" t="s">
        <v>557</v>
      </c>
      <c r="C155" s="787"/>
      <c r="D155" s="699" t="str">
        <f>D132</f>
        <v>(Four Hundred and Fifty rupees only)</v>
      </c>
      <c r="E155" s="699"/>
      <c r="F155" s="699"/>
      <c r="G155" s="699"/>
      <c r="H155" s="699"/>
      <c r="I155" s="699"/>
      <c r="J155" s="699"/>
      <c r="K155" s="699"/>
      <c r="L155" s="699"/>
      <c r="M155" s="699"/>
      <c r="N155" s="699"/>
      <c r="O155" s="699"/>
      <c r="P155" s="699"/>
      <c r="Q155" s="699"/>
    </row>
    <row r="156" spans="2:17" ht="15">
      <c r="B156" s="285"/>
      <c r="C156" s="285"/>
      <c r="D156" s="699"/>
      <c r="E156" s="699"/>
      <c r="F156" s="699"/>
      <c r="G156" s="699"/>
      <c r="H156" s="699"/>
      <c r="I156" s="699"/>
      <c r="J156" s="699"/>
      <c r="K156" s="699"/>
      <c r="L156" s="699"/>
      <c r="M156" s="699"/>
      <c r="N156" s="699"/>
      <c r="O156" s="699"/>
      <c r="P156" s="699"/>
      <c r="Q156" s="699"/>
    </row>
    <row r="160" spans="2:12" ht="15">
      <c r="B160" s="9" t="s">
        <v>188</v>
      </c>
      <c r="L160" s="9" t="s">
        <v>189</v>
      </c>
    </row>
    <row r="163" ht="21.75" customHeight="1"/>
  </sheetData>
  <sheetProtection formatCells="0" formatColumns="0" formatRows="0" insertColumns="0" insertRows="0" insertHyperlinks="0" deleteColumns="0" deleteRows="0" sort="0" autoFilter="0" pivotTables="0"/>
  <mergeCells count="91">
    <mergeCell ref="E148:I148"/>
    <mergeCell ref="I128:N128"/>
    <mergeCell ref="B129:H129"/>
    <mergeCell ref="A126:D126"/>
    <mergeCell ref="E126:K126"/>
    <mergeCell ref="B128:H128"/>
    <mergeCell ref="A130:N130"/>
    <mergeCell ref="D132:Q133"/>
    <mergeCell ref="B132:C132"/>
    <mergeCell ref="B155:C155"/>
    <mergeCell ref="E124:I124"/>
    <mergeCell ref="O152:Q152"/>
    <mergeCell ref="I129:N129"/>
    <mergeCell ref="O129:Q129"/>
    <mergeCell ref="O130:Q130"/>
    <mergeCell ref="O151:Q151"/>
    <mergeCell ref="I152:N152"/>
    <mergeCell ref="O128:Q128"/>
    <mergeCell ref="E125:K125"/>
    <mergeCell ref="C67:P68"/>
    <mergeCell ref="A123:Q123"/>
    <mergeCell ref="A124:C124"/>
    <mergeCell ref="B152:H152"/>
    <mergeCell ref="A147:Q147"/>
    <mergeCell ref="A148:C148"/>
    <mergeCell ref="B151:H151"/>
    <mergeCell ref="I151:N151"/>
    <mergeCell ref="A149:D149"/>
    <mergeCell ref="E149:K149"/>
    <mergeCell ref="E43:I43"/>
    <mergeCell ref="L43:Q43"/>
    <mergeCell ref="H62:N62"/>
    <mergeCell ref="F65:J65"/>
    <mergeCell ref="J52:Q52"/>
    <mergeCell ref="H60:N60"/>
    <mergeCell ref="D13:O14"/>
    <mergeCell ref="A16:Q16"/>
    <mergeCell ref="E41:F41"/>
    <mergeCell ref="L41:Q41"/>
    <mergeCell ref="A39:P39"/>
    <mergeCell ref="A40:P40"/>
    <mergeCell ref="A9:G9"/>
    <mergeCell ref="O11:Q11"/>
    <mergeCell ref="A1:Q1"/>
    <mergeCell ref="D5:J5"/>
    <mergeCell ref="O5:Q5"/>
    <mergeCell ref="D6:J6"/>
    <mergeCell ref="K6:L6"/>
    <mergeCell ref="M6:Q6"/>
    <mergeCell ref="A74:Q74"/>
    <mergeCell ref="E78:I78"/>
    <mergeCell ref="B82:G82"/>
    <mergeCell ref="H82:J82"/>
    <mergeCell ref="K82:M82"/>
    <mergeCell ref="N82:Q82"/>
    <mergeCell ref="A83:A85"/>
    <mergeCell ref="B83:G83"/>
    <mergeCell ref="H83:J85"/>
    <mergeCell ref="K83:M85"/>
    <mergeCell ref="N83:O83"/>
    <mergeCell ref="P83:Q83"/>
    <mergeCell ref="B84:G84"/>
    <mergeCell ref="N84:O84"/>
    <mergeCell ref="P84:Q84"/>
    <mergeCell ref="B85:G85"/>
    <mergeCell ref="A86:M86"/>
    <mergeCell ref="N86:Q86"/>
    <mergeCell ref="K91:Q91"/>
    <mergeCell ref="K92:Q92"/>
    <mergeCell ref="A104:Q104"/>
    <mergeCell ref="A106:Q106"/>
    <mergeCell ref="E108:I108"/>
    <mergeCell ref="B112:G112"/>
    <mergeCell ref="H112:J112"/>
    <mergeCell ref="K112:M112"/>
    <mergeCell ref="N112:Q112"/>
    <mergeCell ref="A113:A115"/>
    <mergeCell ref="B113:G113"/>
    <mergeCell ref="H113:J115"/>
    <mergeCell ref="K113:M115"/>
    <mergeCell ref="N113:O113"/>
    <mergeCell ref="D155:Q156"/>
    <mergeCell ref="P113:Q113"/>
    <mergeCell ref="B114:G114"/>
    <mergeCell ref="N114:O114"/>
    <mergeCell ref="P114:Q114"/>
    <mergeCell ref="B115:G115"/>
    <mergeCell ref="A116:M116"/>
    <mergeCell ref="A125:D125"/>
    <mergeCell ref="A153:N153"/>
    <mergeCell ref="O153:Q153"/>
  </mergeCells>
  <printOptions/>
  <pageMargins left="0.7" right="0.45" top="0.75" bottom="0.75" header="0" footer="0"/>
  <pageSetup horizontalDpi="120" verticalDpi="120" orientation="portrait" paperSize="5" r:id="rId1"/>
</worksheet>
</file>

<file path=xl/worksheets/sheet7.xml><?xml version="1.0" encoding="utf-8"?>
<worksheet xmlns="http://schemas.openxmlformats.org/spreadsheetml/2006/main" xmlns:r="http://schemas.openxmlformats.org/officeDocument/2006/relationships">
  <dimension ref="A1:DK438"/>
  <sheetViews>
    <sheetView zoomScale="70" zoomScaleNormal="70" zoomScalePageLayoutView="0" workbookViewId="0" topLeftCell="CK1">
      <selection activeCell="CV11" sqref="CV11"/>
    </sheetView>
  </sheetViews>
  <sheetFormatPr defaultColWidth="11.33203125" defaultRowHeight="12.75"/>
  <cols>
    <col min="1" max="2" width="11.33203125" style="216" hidden="1" customWidth="1"/>
    <col min="3" max="3" width="15.16015625" style="216" hidden="1" customWidth="1"/>
    <col min="4" max="4" width="16.66015625" style="216" hidden="1" customWidth="1"/>
    <col min="5" max="5" width="9.66015625" style="216" hidden="1" customWidth="1"/>
    <col min="6" max="6" width="18.5" style="216" hidden="1" customWidth="1"/>
    <col min="7" max="7" width="17" style="216" hidden="1" customWidth="1"/>
    <col min="8" max="8" width="13.33203125" style="216" hidden="1" customWidth="1"/>
    <col min="9" max="9" width="12.16015625" style="216" hidden="1" customWidth="1"/>
    <col min="10" max="10" width="13.33203125" style="216" hidden="1" customWidth="1"/>
    <col min="11" max="11" width="11.33203125" style="216" hidden="1" customWidth="1"/>
    <col min="12" max="12" width="19.66015625" style="216" hidden="1" customWidth="1"/>
    <col min="13" max="14" width="11.33203125" style="216" hidden="1" customWidth="1"/>
    <col min="15" max="15" width="14.5" style="216" hidden="1" customWidth="1"/>
    <col min="16" max="16" width="11.33203125" style="216" hidden="1" customWidth="1"/>
    <col min="17" max="17" width="15.83203125" style="216" hidden="1" customWidth="1"/>
    <col min="18" max="18" width="12.83203125" style="216" hidden="1" customWidth="1"/>
    <col min="19" max="20" width="11.33203125" style="216" hidden="1" customWidth="1"/>
    <col min="21" max="21" width="14.5" style="216" hidden="1" customWidth="1"/>
    <col min="22" max="23" width="11.33203125" style="216" hidden="1" customWidth="1"/>
    <col min="24" max="25" width="13.83203125" style="216" hidden="1" customWidth="1"/>
    <col min="26" max="26" width="14.5" style="216" hidden="1" customWidth="1"/>
    <col min="27" max="27" width="13.83203125" style="216" hidden="1" customWidth="1"/>
    <col min="28" max="36" width="11.33203125" style="216" hidden="1" customWidth="1"/>
    <col min="37" max="37" width="19" style="216" hidden="1" customWidth="1"/>
    <col min="38" max="38" width="9.83203125" style="216" hidden="1" customWidth="1"/>
    <col min="39" max="88" width="11.33203125" style="216" hidden="1" customWidth="1"/>
    <col min="89" max="114" width="11.33203125" style="216" customWidth="1"/>
    <col min="115" max="16384" width="11.33203125" style="216" customWidth="1"/>
  </cols>
  <sheetData>
    <row r="1" spans="1:44" ht="19.5" customHeight="1">
      <c r="A1" s="195" t="s">
        <v>27</v>
      </c>
      <c r="B1" s="195" t="s">
        <v>279</v>
      </c>
      <c r="C1" s="195" t="s">
        <v>278</v>
      </c>
      <c r="D1" s="195" t="s">
        <v>280</v>
      </c>
      <c r="E1" s="195" t="s">
        <v>281</v>
      </c>
      <c r="AN1" s="808"/>
      <c r="AO1" s="808"/>
      <c r="AQ1" s="207"/>
      <c r="AR1" s="207"/>
    </row>
    <row r="2" spans="6:44" ht="19.5" customHeight="1">
      <c r="F2" s="216">
        <f>Data!B89</f>
        <v>4</v>
      </c>
      <c r="G2" s="216">
        <f>Data!N83</f>
        <v>1</v>
      </c>
      <c r="Y2" s="216" t="s">
        <v>335</v>
      </c>
      <c r="Z2" s="216" t="s">
        <v>336</v>
      </c>
      <c r="AA2" s="216" t="s">
        <v>337</v>
      </c>
      <c r="AM2" s="216" t="s">
        <v>282</v>
      </c>
      <c r="AN2" s="207"/>
      <c r="AO2" s="207"/>
      <c r="AQ2" s="207" t="s">
        <v>283</v>
      </c>
      <c r="AR2" s="207"/>
    </row>
    <row r="3" spans="7:44" ht="19.5" customHeight="1">
      <c r="G3" s="216" t="s">
        <v>284</v>
      </c>
      <c r="H3" s="216" t="s">
        <v>285</v>
      </c>
      <c r="Y3" s="216" t="s">
        <v>332</v>
      </c>
      <c r="Z3" s="216" t="s">
        <v>334</v>
      </c>
      <c r="AA3" s="216" t="s">
        <v>338</v>
      </c>
      <c r="AQ3" s="207"/>
      <c r="AR3" s="207"/>
    </row>
    <row r="4" spans="1:56" ht="15">
      <c r="A4" s="216">
        <v>1</v>
      </c>
      <c r="C4" s="219" t="str">
        <f>Data!P163</f>
        <v>1/2/2010</v>
      </c>
      <c r="D4" s="216" t="str">
        <f>Data!T163</f>
        <v>February,2010</v>
      </c>
      <c r="E4" s="216">
        <f>VLOOKUP(D4,C290:D350,2,0)</f>
        <v>2</v>
      </c>
      <c r="F4" s="216">
        <f>E4</f>
        <v>2</v>
      </c>
      <c r="G4" s="216">
        <f>Data!G22</f>
        <v>10020</v>
      </c>
      <c r="H4" s="216">
        <f>IF(AND(G2=2,F2&gt;=4),VLOOKUP(G4,AL4:AN83,2,0),IF(AND(G2=2,F2&lt;4),VLOOKUP(G4,AL4:AN83,3,0),VLOOKUP(G4,AH4:AI83,2,0)))</f>
        <v>10300</v>
      </c>
      <c r="K4" s="216" t="str">
        <f>CONCATENATE("  Rs.",G4,"/-")</f>
        <v>  Rs.10020/-</v>
      </c>
      <c r="L4" s="216" t="str">
        <f>CONCATENATE("  Rs.",H4,"/-")</f>
        <v>  Rs.10300/-</v>
      </c>
      <c r="X4" s="216" t="s">
        <v>247</v>
      </c>
      <c r="Y4" s="216" t="s">
        <v>333</v>
      </c>
      <c r="Z4" s="216" t="s">
        <v>339</v>
      </c>
      <c r="AA4" s="216" t="s">
        <v>340</v>
      </c>
      <c r="AB4" s="216">
        <v>6</v>
      </c>
      <c r="AH4" s="223">
        <v>6700</v>
      </c>
      <c r="AI4" s="223">
        <v>6900</v>
      </c>
      <c r="AJ4" s="223">
        <v>7100</v>
      </c>
      <c r="AL4" s="223">
        <v>6700</v>
      </c>
      <c r="AM4" s="223">
        <v>6900</v>
      </c>
      <c r="AN4" s="223">
        <v>7100</v>
      </c>
      <c r="AO4" s="207"/>
      <c r="AP4" s="223">
        <v>6700</v>
      </c>
      <c r="AQ4" s="223">
        <v>7100</v>
      </c>
      <c r="AR4" s="223">
        <v>7100</v>
      </c>
      <c r="AT4" s="208"/>
      <c r="AU4" s="209"/>
      <c r="AV4" s="209"/>
      <c r="AX4" s="207"/>
      <c r="AY4" s="207"/>
      <c r="AZ4" s="207"/>
      <c r="BB4" s="207"/>
      <c r="BC4" s="207"/>
      <c r="BD4" s="207"/>
    </row>
    <row r="5" spans="1:56" ht="15">
      <c r="A5" s="216">
        <v>2</v>
      </c>
      <c r="B5" s="216">
        <f>Data!O115</f>
        <v>1</v>
      </c>
      <c r="C5" s="219">
        <f>Data!P164</f>
        <v>40452</v>
      </c>
      <c r="D5" s="216" t="str">
        <f>Data!T164</f>
        <v>October,2010</v>
      </c>
      <c r="E5" s="216">
        <f>VLOOKUP(D5,C290:D350,2,0)</f>
        <v>10</v>
      </c>
      <c r="F5" s="216">
        <f>IF(AND(B5=1,G2=3),F4+12,E5)</f>
        <v>10</v>
      </c>
      <c r="G5" s="216">
        <f>IF(B5&lt;=2,VLOOKUP(G4,AH4:AI83,2,0),IF(AND(B5&lt;=4,F2&gt;=4),VLOOKUP(G4,AL4:AM83,2,0),IF(AND(B5&lt;=4,F2&lt;4),VLOOKUP(G4,AL4:AN83,3,0),G4)))</f>
        <v>10300</v>
      </c>
      <c r="H5" s="216">
        <f>IF(B5=1,VLOOKUP(H4,AH4:AI83,2,0),IF(B5=2,H4,IF(AND(B5&lt;=4,F2&gt;=4),VLOOKUP(H4,AL4:AM83,2,0),IF(AND(B5&lt;=4,F2&lt;4),VLOOKUP(H4,AL4:AN83,3,0),H4))))</f>
        <v>10600</v>
      </c>
      <c r="I5" s="216" t="str">
        <f>IF(B5=1,"Due to AGI as on ",IF(B5=2,"",IF(B5=3,"Promotion Fixation under FR 22 a (i) on ",IF(B5=4,"Promotion Fixation under FR 22 (B) on ",""))))</f>
        <v>Due to AGI as on </v>
      </c>
      <c r="J5" s="219" t="str">
        <f>IF(B5=2,"",IF(B5=5,"",Q5))</f>
        <v>1/10/2010</v>
      </c>
      <c r="K5" s="219"/>
      <c r="L5" s="216" t="str">
        <f>IF(B5=2,"",IF(B5=5,"",CONCATENATE("Rs.",H5,"/-")))</f>
        <v>Rs.10600/-</v>
      </c>
      <c r="N5" s="216">
        <f>DAY(C5)</f>
        <v>1</v>
      </c>
      <c r="O5" s="216">
        <f>MONTH(C5)</f>
        <v>10</v>
      </c>
      <c r="P5" s="216">
        <f>YEAR(C5)</f>
        <v>2010</v>
      </c>
      <c r="Q5" s="216" t="str">
        <f>CONCATENATE(N5,"/",O5,"/",P5)</f>
        <v>1/10/2010</v>
      </c>
      <c r="X5" s="216" t="s">
        <v>248</v>
      </c>
      <c r="Y5" s="216" t="s">
        <v>334</v>
      </c>
      <c r="Z5" s="216" t="s">
        <v>338</v>
      </c>
      <c r="AA5" s="216" t="s">
        <v>340</v>
      </c>
      <c r="AB5" s="216">
        <v>12</v>
      </c>
      <c r="AH5" s="223">
        <v>6900</v>
      </c>
      <c r="AI5" s="223">
        <v>7100</v>
      </c>
      <c r="AJ5" s="223">
        <v>7300</v>
      </c>
      <c r="AL5" s="223">
        <v>6900</v>
      </c>
      <c r="AM5" s="223">
        <v>7100</v>
      </c>
      <c r="AN5" s="223">
        <v>7300</v>
      </c>
      <c r="AO5" s="207"/>
      <c r="AP5" s="223">
        <v>6900</v>
      </c>
      <c r="AQ5" s="223">
        <v>7300</v>
      </c>
      <c r="AR5" s="223">
        <v>7300</v>
      </c>
      <c r="AT5" s="208"/>
      <c r="AU5" s="209"/>
      <c r="AV5" s="209"/>
      <c r="AX5" s="207"/>
      <c r="AY5" s="207"/>
      <c r="AZ5" s="207"/>
      <c r="BB5" s="207"/>
      <c r="BC5" s="207"/>
      <c r="BD5" s="207"/>
    </row>
    <row r="6" spans="1:56" ht="15">
      <c r="A6" s="216">
        <v>3</v>
      </c>
      <c r="B6" s="216">
        <f>Data!O116</f>
        <v>5</v>
      </c>
      <c r="C6" s="219">
        <f>Data!P165</f>
        <v>40468</v>
      </c>
      <c r="D6" s="216" t="str">
        <f>Data!T165</f>
        <v>No Change</v>
      </c>
      <c r="E6" s="216">
        <f>VLOOKUP(D6,C290:D350,2,0)</f>
        <v>100</v>
      </c>
      <c r="F6" s="216">
        <f>IF(AND(B5=3,G2=3),F4+12,IF(AND(B6=1,G2=3),F5+12,E6))</f>
        <v>100</v>
      </c>
      <c r="G6" s="216">
        <f>IF(B6&lt;=2,VLOOKUP(G5,AH4:AI83,2,0),IF(AND(B6&lt;=4,F2&gt;=4),VLOOKUP(G5,AL4:AM83,2,0),IF(AND(B6&lt;=4,F2&lt;4),VLOOKUP(G5,AL4:AN83,3,0),G5)))</f>
        <v>10300</v>
      </c>
      <c r="H6" s="216">
        <f>IF(B6=1,VLOOKUP(H5,AH4:AI83,2,0),IF(B6=2,H5,IF(AND(B6&lt;=4,F2&gt;=4),VLOOKUP(H5,AL4:AM83,2,0),IF(AND(B6&lt;=4,F2&lt;4),VLOOKUP(H5,AL4:AN83,3,0),H5))))</f>
        <v>10600</v>
      </c>
      <c r="I6" s="216">
        <f>IF(B6=1,"Due to AGI as on ",IF(B6=2,"",IF(B6=3,"Promotion Fixation under FR 22 a (i) on ",IF(B6=4,"Promotion Fixation under FR 22 (B) on ",""))))</f>
      </c>
      <c r="J6" s="219">
        <f>IF(B6=2,"",IF(B6=5,"",Q6))</f>
      </c>
      <c r="L6" s="216">
        <f>IF(B6=2,"",IF(B6=5,"",CONCATENATE("Rs.",H6,"/-")))</f>
      </c>
      <c r="N6" s="216">
        <f>DAY(C6)</f>
        <v>17</v>
      </c>
      <c r="O6" s="216">
        <f>MONTH(C6)</f>
        <v>10</v>
      </c>
      <c r="P6" s="216">
        <f>YEAR(C6)</f>
        <v>2010</v>
      </c>
      <c r="Q6" s="216" t="str">
        <f>CONCATENATE(N6,"/",O6,"/",P6)</f>
        <v>17/10/2010</v>
      </c>
      <c r="X6" s="216" t="s">
        <v>249</v>
      </c>
      <c r="Y6" s="216" t="s">
        <v>334</v>
      </c>
      <c r="Z6" s="216" t="s">
        <v>338</v>
      </c>
      <c r="AA6" s="216" t="s">
        <v>340</v>
      </c>
      <c r="AB6" s="216">
        <v>18</v>
      </c>
      <c r="AH6" s="223">
        <v>7100</v>
      </c>
      <c r="AI6" s="223">
        <v>7300</v>
      </c>
      <c r="AJ6" s="223">
        <v>7520</v>
      </c>
      <c r="AL6" s="223">
        <v>7100</v>
      </c>
      <c r="AM6" s="223">
        <v>7300</v>
      </c>
      <c r="AN6" s="223">
        <v>7520</v>
      </c>
      <c r="AO6" s="207"/>
      <c r="AP6" s="223">
        <v>7100</v>
      </c>
      <c r="AQ6" s="223">
        <v>7520</v>
      </c>
      <c r="AR6" s="223">
        <v>7520</v>
      </c>
      <c r="AT6" s="208"/>
      <c r="AU6" s="209"/>
      <c r="AV6" s="209"/>
      <c r="AX6" s="207"/>
      <c r="AY6" s="207"/>
      <c r="AZ6" s="207"/>
      <c r="BB6" s="207"/>
      <c r="BC6" s="207"/>
      <c r="BD6" s="207"/>
    </row>
    <row r="7" spans="1:56" ht="15">
      <c r="A7" s="216">
        <v>4</v>
      </c>
      <c r="B7" s="216">
        <f>Data!O117</f>
        <v>5</v>
      </c>
      <c r="C7" s="219">
        <f>Data!P166</f>
        <v>40634</v>
      </c>
      <c r="D7" s="216" t="str">
        <f>Data!T166</f>
        <v>No Change</v>
      </c>
      <c r="E7" s="216">
        <f>VLOOKUP(D7,C290:D350,2,0)</f>
        <v>100</v>
      </c>
      <c r="F7" s="216">
        <f>IF(AND(B6=3,G2=3),F5+12,IF(AND(B7=1,G2=3),F6+12,E7))</f>
        <v>100</v>
      </c>
      <c r="G7" s="216">
        <f>IF(B7&lt;=2,VLOOKUP(G6,AH4:AI83,2,0),IF(AND(B7&lt;=4,F2&gt;=4),VLOOKUP(G6,AL4:AM83,2,0),IF(AND(B7&lt;=4,F2&lt;4),VLOOKUP(G6,AL4:AN83,3,0),G6)))</f>
        <v>10300</v>
      </c>
      <c r="H7" s="216">
        <f>IF(B7=1,VLOOKUP(H6,AH4:AI83,2,0),IF(B7=2,H6,IF(AND(B7&lt;=4,F2&gt;=4),VLOOKUP(H6,AL4:AM83,2,0),IF(AND(B7&lt;=4,F2&lt;4),VLOOKUP(H6,AL4:AN83,3,0),H6))))</f>
        <v>10600</v>
      </c>
      <c r="I7" s="216">
        <f>IF(B7=1,"Due to AGI as on ",IF(B7=2,"",IF(B7=3,"Promotion Fixation under FR 22 a (i) on ",IF(B7=4,"Promotion Fixation under FR 22 (B) on ",""))))</f>
      </c>
      <c r="J7" s="219">
        <f>IF(B7=2,"",IF(B7=5,"",Q7))</f>
      </c>
      <c r="L7" s="216">
        <f>IF(B7=2,"",IF(B7=5,"",CONCATENATE("Rs.",H7,"/-")))</f>
      </c>
      <c r="N7" s="216">
        <f>DAY(C7)</f>
        <v>1</v>
      </c>
      <c r="O7" s="216">
        <f>MONTH(C7)</f>
        <v>4</v>
      </c>
      <c r="P7" s="216">
        <f>YEAR(C7)</f>
        <v>2011</v>
      </c>
      <c r="Q7" s="216" t="str">
        <f>CONCATENATE(N7,"/",O7,"/",P7)</f>
        <v>1/4/2011</v>
      </c>
      <c r="X7" s="216" t="s">
        <v>250</v>
      </c>
      <c r="Y7" s="216" t="s">
        <v>338</v>
      </c>
      <c r="Z7" s="216" t="s">
        <v>338</v>
      </c>
      <c r="AA7" s="216" t="s">
        <v>341</v>
      </c>
      <c r="AB7" s="216">
        <v>24</v>
      </c>
      <c r="AH7" s="223">
        <v>7300</v>
      </c>
      <c r="AI7" s="223">
        <v>7520</v>
      </c>
      <c r="AJ7" s="223">
        <v>7740</v>
      </c>
      <c r="AL7" s="223">
        <v>7300</v>
      </c>
      <c r="AM7" s="223">
        <v>7520</v>
      </c>
      <c r="AN7" s="223">
        <v>7740</v>
      </c>
      <c r="AO7" s="207"/>
      <c r="AP7" s="223">
        <v>7300</v>
      </c>
      <c r="AQ7" s="223">
        <v>7740</v>
      </c>
      <c r="AR7" s="223">
        <v>7740</v>
      </c>
      <c r="AT7" s="208"/>
      <c r="AU7" s="209"/>
      <c r="AV7" s="209"/>
      <c r="AX7" s="207"/>
      <c r="AY7" s="207"/>
      <c r="AZ7" s="207"/>
      <c r="BB7" s="207"/>
      <c r="BC7" s="207"/>
      <c r="BD7" s="207"/>
    </row>
    <row r="8" spans="1:56" ht="15">
      <c r="A8" s="216">
        <v>5</v>
      </c>
      <c r="B8" s="216">
        <f>Data!O118</f>
        <v>5</v>
      </c>
      <c r="C8" s="219">
        <f>Data!P167</f>
        <v>40603</v>
      </c>
      <c r="D8" s="216" t="str">
        <f>Data!T167</f>
        <v>No Change</v>
      </c>
      <c r="E8" s="216">
        <f>VLOOKUP(D8,C290:D350,2,0)</f>
        <v>100</v>
      </c>
      <c r="F8" s="216">
        <f>IF(AND(B7=3,G2=3),F6+12,IF(AND(B8=1,G2=3),F7+12,E8))</f>
        <v>100</v>
      </c>
      <c r="G8" s="210">
        <f>IF(B8&lt;=2,VLOOKUP(G7,AH4:AI83,2,0),IF(AND(B8&lt;=4,F2&gt;=4),VLOOKUP(G7,AL4:AM83,2,0),IF(AND(B8&lt;=4,F2&lt;4),VLOOKUP(G7,AL4:AN83,3,0),G7)))</f>
        <v>10300</v>
      </c>
      <c r="H8" s="210">
        <f>IF(B8=1,VLOOKUP(H7,AH4:AI83,2,0),IF(B8=2,H7,IF(AND(B8&lt;=4,F2&gt;=4),VLOOKUP(H7,AL4:AM83,2,0),IF(AND(B8&lt;=4,F2&lt;4),VLOOKUP(H7,AL4:AN83,3,0),H7))))</f>
        <v>10600</v>
      </c>
      <c r="I8" s="216">
        <f>IF(B8=1,"Due to AGI as on ",IF(B8=2,"",IF(B8=3,"Promotion Fixation under FR 22 a (i) on ",IF(B8=4,"Promotion Fixation under FR 22 (B) on ",""))))</f>
      </c>
      <c r="J8" s="219">
        <f>IF(B8=2,"",IF(B8=5,"",Q8))</f>
      </c>
      <c r="L8" s="216">
        <f>IF(B8=2,"",IF(B8=5,"",CONCATENATE("Rs.",H8,"/-")))</f>
      </c>
      <c r="N8" s="216">
        <f>DAY(C8)</f>
        <v>1</v>
      </c>
      <c r="O8" s="216">
        <f>MONTH(C8)</f>
        <v>3</v>
      </c>
      <c r="P8" s="216">
        <f>YEAR(C8)</f>
        <v>2011</v>
      </c>
      <c r="Q8" s="216" t="str">
        <f>CONCATENATE(N8,"/",O8,"/",P8)</f>
        <v>1/3/2011</v>
      </c>
      <c r="AH8" s="223">
        <v>7520</v>
      </c>
      <c r="AI8" s="223">
        <v>7740</v>
      </c>
      <c r="AJ8" s="223">
        <v>7960</v>
      </c>
      <c r="AL8" s="223">
        <v>7520</v>
      </c>
      <c r="AM8" s="223">
        <v>7740</v>
      </c>
      <c r="AN8" s="223">
        <v>7960</v>
      </c>
      <c r="AO8" s="207"/>
      <c r="AP8" s="223">
        <v>7520</v>
      </c>
      <c r="AQ8" s="223">
        <v>7960</v>
      </c>
      <c r="AR8" s="223">
        <v>7960</v>
      </c>
      <c r="AT8" s="208"/>
      <c r="AU8" s="209"/>
      <c r="AV8" s="209"/>
      <c r="AX8" s="207"/>
      <c r="AY8" s="207"/>
      <c r="AZ8" s="207"/>
      <c r="BB8" s="207"/>
      <c r="BC8" s="207"/>
      <c r="BD8" s="207"/>
    </row>
    <row r="9" spans="1:56" ht="15">
      <c r="A9" s="216">
        <v>6</v>
      </c>
      <c r="B9" s="216">
        <f>Data!O119</f>
        <v>5</v>
      </c>
      <c r="C9" s="219">
        <f>Data!P168</f>
        <v>40603</v>
      </c>
      <c r="D9" s="216" t="str">
        <f>Data!T168</f>
        <v>No Change</v>
      </c>
      <c r="E9" s="216">
        <f>VLOOKUP(D9,C290:D350,2,0)</f>
        <v>100</v>
      </c>
      <c r="F9" s="216">
        <f>IF(AND(B8=3,G2=3),F7+12,IF(AND(B9=1,G2=3),F8+12,E9))</f>
        <v>100</v>
      </c>
      <c r="G9" s="216">
        <f>IF(B9&lt;=2,VLOOKUP(G8,AH4:AI83,2,0),IF(AND(B9&lt;=4,F2&gt;=4),VLOOKUP(G8,AL4:AM83,2,0),IF(AND(B9&lt;=4,F2&lt;4),VLOOKUP(G8,AL4:AN83,3,0),G8)))</f>
        <v>10300</v>
      </c>
      <c r="H9" s="216">
        <f>IF(B9=1,VLOOKUP(H8,AH4:AI83,2,0),IF(B9=2,H8,IF(AND(B9&lt;=4,F2&gt;=4),VLOOKUP(H8,AL4:AM83,2,0),IF(AND(B9&lt;=4,F2&lt;4),VLOOKUP(H8,AL4:AN83,3,0),H8))))</f>
        <v>10600</v>
      </c>
      <c r="I9" s="216">
        <f>IF(B9=1,"Due to AGI as on ",IF(B9=2,"",IF(B9=3,"Promotion Fixation under FR 22 a (i) on ",IF(B9=4,"Promotion Fixation under FR 22 (B) on ",""))))</f>
      </c>
      <c r="J9" s="219">
        <f>IF(B9=2,"",IF(B9=5,"",Q9))</f>
      </c>
      <c r="L9" s="216">
        <f>IF(B9=2,"",IF(B9=5,"",CONCATENATE("Rs.",H9,"/-")))</f>
      </c>
      <c r="N9" s="216">
        <f>DAY(C9)</f>
        <v>1</v>
      </c>
      <c r="O9" s="216">
        <f>MONTH(C9)</f>
        <v>3</v>
      </c>
      <c r="P9" s="216">
        <f>YEAR(C9)</f>
        <v>2011</v>
      </c>
      <c r="Q9" s="216" t="str">
        <f>CONCATENATE(N9,"/",O9,"/",P9)</f>
        <v>1/3/2011</v>
      </c>
      <c r="W9" s="216" t="str">
        <f>Data!O83</f>
        <v>SG</v>
      </c>
      <c r="X9" s="216" t="str">
        <f>IF(Data!B89=1,VLOOKUP(W9,X4:AA7,4,0),IF(Data!B89=2,VLOOKUP(W9,X4:AA7,3,0),IF(Data!B89=3,VLOOKUP(W9,X4:AA7,3,0),IF(Data!B89&gt;3,VLOOKUP(W9,X4:AA7,2,0)))))</f>
        <v>11530-33200</v>
      </c>
      <c r="Y9" s="216">
        <f>VLOOKUP(W9,X4:AB7,5,0)</f>
        <v>6</v>
      </c>
      <c r="Z9" s="216" t="str">
        <f>IF(Data!B89=1,VLOOKUP(Y9,X13:AA16,4,0),IF(Data!B89=2,VLOOKUP(Y9,X13:AA16,3,0),IF(Data!B89=3,VLOOKUP(Y9,X13:AA16,3,0),IF(Data!B89&gt;3,VLOOKUP(Y9,X13:AA16,2,0)))))</f>
        <v>10900-31550</v>
      </c>
      <c r="AH9" s="223">
        <v>7740</v>
      </c>
      <c r="AI9" s="223">
        <v>7960</v>
      </c>
      <c r="AJ9" s="223">
        <v>8200</v>
      </c>
      <c r="AL9" s="223">
        <v>7740</v>
      </c>
      <c r="AM9" s="223">
        <v>7960</v>
      </c>
      <c r="AN9" s="223">
        <v>8200</v>
      </c>
      <c r="AO9" s="207"/>
      <c r="AP9" s="223">
        <v>7740</v>
      </c>
      <c r="AQ9" s="223">
        <v>8200</v>
      </c>
      <c r="AR9" s="223">
        <v>8200</v>
      </c>
      <c r="AT9" s="208"/>
      <c r="AU9" s="209"/>
      <c r="AV9" s="209"/>
      <c r="AX9" s="207"/>
      <c r="AY9" s="207"/>
      <c r="AZ9" s="207"/>
      <c r="BB9" s="207"/>
      <c r="BC9" s="207"/>
      <c r="BD9" s="207"/>
    </row>
    <row r="10" spans="24:56" ht="15">
      <c r="X10" s="210"/>
      <c r="AH10" s="223">
        <v>7960</v>
      </c>
      <c r="AI10" s="223">
        <v>8200</v>
      </c>
      <c r="AJ10" s="223">
        <v>8440</v>
      </c>
      <c r="AL10" s="223">
        <v>7960</v>
      </c>
      <c r="AM10" s="223">
        <v>8200</v>
      </c>
      <c r="AN10" s="223">
        <v>8440</v>
      </c>
      <c r="AO10" s="207"/>
      <c r="AP10" s="223">
        <v>7960</v>
      </c>
      <c r="AQ10" s="223">
        <v>8440</v>
      </c>
      <c r="AR10" s="223">
        <v>8440</v>
      </c>
      <c r="AT10" s="208"/>
      <c r="AU10" s="209"/>
      <c r="AV10" s="209"/>
      <c r="AX10" s="207"/>
      <c r="AY10" s="207"/>
      <c r="AZ10" s="207"/>
      <c r="BB10" s="207"/>
      <c r="BC10" s="207"/>
      <c r="BD10" s="207"/>
    </row>
    <row r="11" spans="34:56" ht="15">
      <c r="AH11" s="223">
        <v>8200</v>
      </c>
      <c r="AI11" s="223">
        <v>8440</v>
      </c>
      <c r="AJ11" s="223">
        <v>8680</v>
      </c>
      <c r="AL11" s="223">
        <v>8200</v>
      </c>
      <c r="AM11" s="223">
        <v>8440</v>
      </c>
      <c r="AN11" s="223">
        <v>8680</v>
      </c>
      <c r="AO11" s="207"/>
      <c r="AP11" s="223">
        <v>8200</v>
      </c>
      <c r="AQ11" s="223">
        <v>8680</v>
      </c>
      <c r="AR11" s="223">
        <v>8680</v>
      </c>
      <c r="AT11" s="208"/>
      <c r="AU11" s="209"/>
      <c r="AV11" s="209"/>
      <c r="AX11" s="207"/>
      <c r="AY11" s="207"/>
      <c r="AZ11" s="207"/>
      <c r="BB11" s="207"/>
      <c r="BC11" s="207"/>
      <c r="BD11" s="207"/>
    </row>
    <row r="12" spans="34:56" ht="15">
      <c r="AH12" s="223">
        <v>8440</v>
      </c>
      <c r="AI12" s="223">
        <v>8680</v>
      </c>
      <c r="AJ12" s="223">
        <v>8940</v>
      </c>
      <c r="AL12" s="223">
        <v>8440</v>
      </c>
      <c r="AM12" s="223">
        <v>8680</v>
      </c>
      <c r="AN12" s="223">
        <v>8940</v>
      </c>
      <c r="AO12" s="207"/>
      <c r="AP12" s="223">
        <v>8440</v>
      </c>
      <c r="AQ12" s="223">
        <v>8940</v>
      </c>
      <c r="AR12" s="223">
        <v>8940</v>
      </c>
      <c r="AT12" s="208"/>
      <c r="AU12" s="209"/>
      <c r="AV12" s="209"/>
      <c r="AX12" s="207"/>
      <c r="AY12" s="207"/>
      <c r="AZ12" s="207"/>
      <c r="BB12" s="207"/>
      <c r="BC12" s="207"/>
      <c r="BD12" s="207"/>
    </row>
    <row r="13" spans="21:56" ht="15.75" thickBot="1">
      <c r="U13" s="219" t="str">
        <f>Data!G24</f>
        <v>1/2/2010</v>
      </c>
      <c r="V13" s="216" t="str">
        <f>CONCATENATE(Data!AD91,",",Data!AE91)</f>
        <v>February,2010</v>
      </c>
      <c r="X13" s="216">
        <v>6</v>
      </c>
      <c r="Y13" s="216" t="s">
        <v>332</v>
      </c>
      <c r="Z13" s="216" t="s">
        <v>334</v>
      </c>
      <c r="AA13" s="216" t="s">
        <v>338</v>
      </c>
      <c r="AH13" s="223">
        <v>8680</v>
      </c>
      <c r="AI13" s="223">
        <v>8940</v>
      </c>
      <c r="AJ13" s="223">
        <v>9200</v>
      </c>
      <c r="AL13" s="223">
        <v>8680</v>
      </c>
      <c r="AM13" s="223">
        <v>8940</v>
      </c>
      <c r="AN13" s="223">
        <v>9200</v>
      </c>
      <c r="AO13" s="207"/>
      <c r="AP13" s="223">
        <v>8680</v>
      </c>
      <c r="AQ13" s="223">
        <v>9200</v>
      </c>
      <c r="AR13" s="223">
        <v>9200</v>
      </c>
      <c r="AT13" s="208"/>
      <c r="AU13" s="209"/>
      <c r="AV13" s="209"/>
      <c r="AX13" s="207"/>
      <c r="AY13" s="207"/>
      <c r="AZ13" s="207"/>
      <c r="BB13" s="207"/>
      <c r="BC13" s="207"/>
      <c r="BD13" s="207"/>
    </row>
    <row r="14" spans="11:56" ht="15">
      <c r="K14" s="262"/>
      <c r="L14" s="263"/>
      <c r="M14" s="263"/>
      <c r="N14" s="271"/>
      <c r="O14" s="272"/>
      <c r="P14" s="272"/>
      <c r="Q14" s="272"/>
      <c r="R14" s="272"/>
      <c r="S14" s="273"/>
      <c r="U14" s="216">
        <f>VLOOKUP(V13,C290:D350,2,0)</f>
        <v>2</v>
      </c>
      <c r="V14" s="216">
        <f>Data!W97</f>
        <v>3</v>
      </c>
      <c r="X14" s="216">
        <v>12</v>
      </c>
      <c r="Y14" s="216" t="s">
        <v>333</v>
      </c>
      <c r="Z14" s="216" t="s">
        <v>339</v>
      </c>
      <c r="AA14" s="216" t="s">
        <v>340</v>
      </c>
      <c r="AH14" s="223">
        <v>8940</v>
      </c>
      <c r="AI14" s="223">
        <v>9200</v>
      </c>
      <c r="AJ14" s="223">
        <v>9460</v>
      </c>
      <c r="AL14" s="223">
        <v>8940</v>
      </c>
      <c r="AM14" s="223">
        <v>9200</v>
      </c>
      <c r="AN14" s="223">
        <v>9460</v>
      </c>
      <c r="AO14" s="207"/>
      <c r="AP14" s="223">
        <v>8940</v>
      </c>
      <c r="AQ14" s="223">
        <v>9460</v>
      </c>
      <c r="AR14" s="223">
        <v>9460</v>
      </c>
      <c r="AT14" s="208"/>
      <c r="AU14" s="209"/>
      <c r="AV14" s="209"/>
      <c r="AX14" s="207"/>
      <c r="AY14" s="207"/>
      <c r="AZ14" s="207"/>
      <c r="BB14" s="207"/>
      <c r="BC14" s="207"/>
      <c r="BD14" s="207"/>
    </row>
    <row r="15" spans="9:56" ht="15">
      <c r="I15" s="216" t="s">
        <v>476</v>
      </c>
      <c r="K15" s="265"/>
      <c r="N15" s="258">
        <f>N16-1</f>
        <v>-1</v>
      </c>
      <c r="O15" s="274">
        <f>IF(B5=2,C5,IF(B6=2,C6,IF(B7=2,C7,IF(B8=2,C8,IF(B9=2,C9,0)))))</f>
        <v>0</v>
      </c>
      <c r="P15" s="275"/>
      <c r="Q15" s="275"/>
      <c r="R15" s="275"/>
      <c r="S15" s="259"/>
      <c r="U15" s="216" t="str">
        <f>Data!X99</f>
        <v>No Change</v>
      </c>
      <c r="X15" s="216">
        <v>18</v>
      </c>
      <c r="Y15" s="216" t="s">
        <v>334</v>
      </c>
      <c r="Z15" s="216" t="s">
        <v>338</v>
      </c>
      <c r="AA15" s="216" t="s">
        <v>340</v>
      </c>
      <c r="AH15" s="223">
        <v>9200</v>
      </c>
      <c r="AI15" s="223">
        <v>9460</v>
      </c>
      <c r="AJ15" s="223">
        <v>10020</v>
      </c>
      <c r="AL15" s="223">
        <v>9200</v>
      </c>
      <c r="AM15" s="223">
        <v>9460</v>
      </c>
      <c r="AN15" s="223">
        <v>10020</v>
      </c>
      <c r="AO15" s="207"/>
      <c r="AP15" s="223">
        <v>9200</v>
      </c>
      <c r="AQ15" s="223">
        <v>10020</v>
      </c>
      <c r="AR15" s="223">
        <v>10020</v>
      </c>
      <c r="AT15" s="208"/>
      <c r="AU15" s="209"/>
      <c r="AV15" s="209"/>
      <c r="AX15" s="207"/>
      <c r="AY15" s="207"/>
      <c r="AZ15" s="207"/>
      <c r="BB15" s="207"/>
      <c r="BC15" s="207"/>
      <c r="BD15" s="207"/>
    </row>
    <row r="16" spans="11:56" ht="15">
      <c r="K16" s="265">
        <f>DAY(Data!Q84)</f>
        <v>1</v>
      </c>
      <c r="L16" s="216">
        <f>MONTH(Data!Q84)</f>
        <v>2</v>
      </c>
      <c r="M16" s="216">
        <f>YEAR(Data!Q84)</f>
        <v>2010</v>
      </c>
      <c r="N16" s="258">
        <f>DAY(O15)</f>
        <v>0</v>
      </c>
      <c r="O16" s="275">
        <f>MONTH(O15)</f>
        <v>1</v>
      </c>
      <c r="P16" s="275">
        <f>YEAR(O15)</f>
        <v>1900</v>
      </c>
      <c r="Q16" s="275">
        <f>IF(N16=1,CONCATENATE("1-",N17,"/",O16,"/",P16),IF(O17&gt;A20,0,IF(N18=N17,"",IF(P16=1900,"",CONCATENATE(N16,"-",N17,"/",O16,"/",P16)))))</f>
      </c>
      <c r="R16" s="275">
        <f>IF(P16=1900,0,VLOOKUP(O16,C21:T50,17,0))</f>
        <v>0</v>
      </c>
      <c r="S16" s="259">
        <f>IF(P16=1900,0,VLOOKUP(O16,C21:T50,18,0))</f>
        <v>0</v>
      </c>
      <c r="U16" s="216">
        <f>VLOOKUP(U15,C290:D350,2,0)</f>
        <v>100</v>
      </c>
      <c r="V16" s="216">
        <f>Data!W102</f>
        <v>2</v>
      </c>
      <c r="X16" s="216">
        <v>24</v>
      </c>
      <c r="Y16" s="216" t="s">
        <v>334</v>
      </c>
      <c r="Z16" s="216" t="s">
        <v>338</v>
      </c>
      <c r="AA16" s="216" t="s">
        <v>340</v>
      </c>
      <c r="AH16" s="223">
        <v>9460</v>
      </c>
      <c r="AI16" s="223">
        <v>10020</v>
      </c>
      <c r="AJ16" s="223">
        <v>10300</v>
      </c>
      <c r="AL16" s="223">
        <v>9460</v>
      </c>
      <c r="AM16" s="223">
        <v>10020</v>
      </c>
      <c r="AN16" s="223">
        <v>10300</v>
      </c>
      <c r="AO16" s="207"/>
      <c r="AP16" s="223">
        <v>9460</v>
      </c>
      <c r="AQ16" s="223">
        <v>10300</v>
      </c>
      <c r="AR16" s="223">
        <v>10300</v>
      </c>
      <c r="AT16" s="208"/>
      <c r="AU16" s="209"/>
      <c r="AV16" s="209"/>
      <c r="AX16" s="207"/>
      <c r="AY16" s="207"/>
      <c r="AZ16" s="207"/>
      <c r="BB16" s="207"/>
      <c r="BC16" s="207"/>
      <c r="BD16" s="207"/>
    </row>
    <row r="17" spans="11:56" ht="15">
      <c r="K17" s="265">
        <f>IF(L17&gt;36,0,VLOOKUP(L17,C21:D53,2,0))</f>
        <v>28</v>
      </c>
      <c r="L17" s="216">
        <f>L16+M17</f>
        <v>2</v>
      </c>
      <c r="M17" s="216">
        <f>IF(M16=2010,0,IF(M16=2011,12,IF(M16=2012,24,IF(M16=2013,36,IF(M16=2014,48,IF(M16=2015,60))))))</f>
        <v>0</v>
      </c>
      <c r="N17" s="258">
        <f>IF(O15=0/1/1900,0,VLOOKUP(O17,C21:D51,2,0))</f>
        <v>0</v>
      </c>
      <c r="O17" s="275">
        <f>O16+P17</f>
        <v>1</v>
      </c>
      <c r="P17" s="275">
        <f>IF(P16=1900,0,IF(P16=2010,0,IF(P16=2011,12,IF(P16=2012,24))))</f>
        <v>0</v>
      </c>
      <c r="Q17" s="275"/>
      <c r="R17" s="275">
        <f>IF(O17&gt;A20,0,IF(P16=1900,0,ROUND(R16*N15/N17,0.1)))</f>
        <v>0</v>
      </c>
      <c r="S17" s="259">
        <f>IF(N16=1,R16-S16,IF(O17&gt;A20,0,IF(P16=1900,0,ROUND(R16*N18/N17,0.1)-ROUND(S16*N18/N17,0.1))))</f>
        <v>0</v>
      </c>
      <c r="AH17" s="223">
        <v>10020</v>
      </c>
      <c r="AI17" s="223">
        <v>10300</v>
      </c>
      <c r="AJ17" s="223">
        <v>10600</v>
      </c>
      <c r="AL17" s="223">
        <v>10020</v>
      </c>
      <c r="AM17" s="223">
        <v>10300</v>
      </c>
      <c r="AN17" s="223">
        <v>10600</v>
      </c>
      <c r="AO17" s="207"/>
      <c r="AP17" s="223">
        <v>10020</v>
      </c>
      <c r="AQ17" s="223">
        <v>10600</v>
      </c>
      <c r="AR17" s="223">
        <v>10600</v>
      </c>
      <c r="AT17" s="208"/>
      <c r="AU17" s="209"/>
      <c r="AV17" s="209"/>
      <c r="AX17" s="207"/>
      <c r="AY17" s="207"/>
      <c r="AZ17" s="207"/>
      <c r="BB17" s="207"/>
      <c r="BC17" s="207"/>
      <c r="BD17" s="207"/>
    </row>
    <row r="18" spans="11:56" ht="15.75" thickBot="1">
      <c r="K18" s="267">
        <f>K17-K16+1</f>
        <v>28</v>
      </c>
      <c r="L18" s="268"/>
      <c r="M18" s="268"/>
      <c r="N18" s="260">
        <f>N17-N16+1</f>
        <v>1</v>
      </c>
      <c r="O18" s="276"/>
      <c r="P18" s="276"/>
      <c r="Q18" s="276"/>
      <c r="R18" s="276">
        <f>IF(P16=1900,0,VLOOKUP(O17,C21:W50,21,0))</f>
        <v>0</v>
      </c>
      <c r="S18" s="261">
        <f>IF(P16=1900,0,VLOOKUP(O17,C21:W50,20,0))</f>
        <v>0</v>
      </c>
      <c r="AH18" s="223">
        <v>10300</v>
      </c>
      <c r="AI18" s="223">
        <v>10600</v>
      </c>
      <c r="AJ18" s="223">
        <v>10900</v>
      </c>
      <c r="AL18" s="223">
        <v>10300</v>
      </c>
      <c r="AM18" s="223">
        <v>10600</v>
      </c>
      <c r="AN18" s="223">
        <v>10900</v>
      </c>
      <c r="AO18" s="207"/>
      <c r="AP18" s="223">
        <v>10300</v>
      </c>
      <c r="AQ18" s="223">
        <v>10900</v>
      </c>
      <c r="AR18" s="223">
        <v>10900</v>
      </c>
      <c r="AT18" s="208"/>
      <c r="AU18" s="209"/>
      <c r="AV18" s="209"/>
      <c r="AX18" s="207"/>
      <c r="AY18" s="207"/>
      <c r="AZ18" s="207"/>
      <c r="BB18" s="207"/>
      <c r="BC18" s="207"/>
      <c r="BD18" s="207"/>
    </row>
    <row r="19" spans="1:56" ht="15.75" thickBot="1">
      <c r="A19" s="216">
        <f>Data!H163</f>
        <v>1</v>
      </c>
      <c r="B19" s="216">
        <f>Data!X83</f>
        <v>1</v>
      </c>
      <c r="AH19" s="223">
        <v>10600</v>
      </c>
      <c r="AI19" s="223">
        <v>10900</v>
      </c>
      <c r="AJ19" s="223">
        <v>11200</v>
      </c>
      <c r="AL19" s="223">
        <v>10600</v>
      </c>
      <c r="AM19" s="223">
        <v>10900</v>
      </c>
      <c r="AN19" s="223">
        <v>11200</v>
      </c>
      <c r="AO19" s="207"/>
      <c r="AP19" s="223">
        <v>10600</v>
      </c>
      <c r="AQ19" s="223">
        <v>11200</v>
      </c>
      <c r="AR19" s="223">
        <v>11200</v>
      </c>
      <c r="AT19" s="208"/>
      <c r="AU19" s="209"/>
      <c r="AV19" s="209"/>
      <c r="AX19" s="207"/>
      <c r="AY19" s="207"/>
      <c r="AZ19" s="207"/>
      <c r="BB19" s="207"/>
      <c r="BC19" s="207"/>
      <c r="BD19" s="207"/>
    </row>
    <row r="20" spans="1:56" ht="15">
      <c r="A20" s="216">
        <f>A19+17</f>
        <v>18</v>
      </c>
      <c r="B20" s="216">
        <f>B19</f>
        <v>1</v>
      </c>
      <c r="G20" s="226" t="s">
        <v>287</v>
      </c>
      <c r="H20" s="226" t="s">
        <v>288</v>
      </c>
      <c r="I20" s="252" t="s">
        <v>287</v>
      </c>
      <c r="J20" s="253" t="s">
        <v>288</v>
      </c>
      <c r="K20" s="216" t="s">
        <v>472</v>
      </c>
      <c r="L20" s="216" t="s">
        <v>472</v>
      </c>
      <c r="M20" s="216" t="s">
        <v>472</v>
      </c>
      <c r="N20" s="249" t="s">
        <v>472</v>
      </c>
      <c r="O20" s="216" t="s">
        <v>288</v>
      </c>
      <c r="P20" s="216" t="s">
        <v>288</v>
      </c>
      <c r="Q20" s="216" t="s">
        <v>288</v>
      </c>
      <c r="R20" s="251" t="s">
        <v>288</v>
      </c>
      <c r="S20" s="249" t="s">
        <v>472</v>
      </c>
      <c r="T20" s="251" t="s">
        <v>288</v>
      </c>
      <c r="AH20" s="223">
        <v>10900</v>
      </c>
      <c r="AI20" s="223">
        <v>11200</v>
      </c>
      <c r="AJ20" s="223">
        <v>11530</v>
      </c>
      <c r="AL20" s="223">
        <v>10900</v>
      </c>
      <c r="AM20" s="223">
        <v>11200</v>
      </c>
      <c r="AN20" s="223">
        <v>11530</v>
      </c>
      <c r="AO20" s="207"/>
      <c r="AP20" s="223">
        <v>10900</v>
      </c>
      <c r="AQ20" s="223">
        <v>11530</v>
      </c>
      <c r="AR20" s="223">
        <v>11530</v>
      </c>
      <c r="AT20" s="208"/>
      <c r="AU20" s="209"/>
      <c r="AV20" s="209"/>
      <c r="AX20" s="207"/>
      <c r="AY20" s="207"/>
      <c r="AZ20" s="207"/>
      <c r="BB20" s="207"/>
      <c r="BC20" s="207"/>
      <c r="BD20" s="207"/>
    </row>
    <row r="21" spans="1:56" ht="15">
      <c r="A21" s="216">
        <f>A20</f>
        <v>18</v>
      </c>
      <c r="B21" s="216">
        <f aca="true" t="shared" si="0" ref="B21:B52">B20</f>
        <v>1</v>
      </c>
      <c r="C21" s="216">
        <v>2</v>
      </c>
      <c r="D21" s="216">
        <v>28</v>
      </c>
      <c r="F21" s="216" t="str">
        <f>IF(C21=L17,CONCATENATE(K16,"-",K17,"/",L16,"/",M16),"Feb-10")</f>
        <v>1-28/2/2010</v>
      </c>
      <c r="G21" s="226">
        <f>IF(AND(F9&lt;=C21),H9,IF(AND(F8&lt;=C21,F9&gt;C21),H8,IF(AND(F7&lt;=C21,F8&gt;C21),H7,IF(AND(F6&lt;=C21,F7&gt;C21),H6,IF(AND(F5&lt;=C21,F6&gt;C21),H5,IF(AND(F4&lt;=C21,F5&gt;C21),H4,0))))))</f>
        <v>10300</v>
      </c>
      <c r="H21" s="226">
        <f>IF(AND(E9&lt;=C21),G9,IF(AND(E8&lt;=C21,E9&gt;C21),G8,IF(AND(E7&lt;=C21,E8&gt;C21),G7,IF(AND(E6&lt;=C21,E7&gt;C21),G6,IF(AND(E5&lt;=C21,E6&gt;C21),G5,IF(AND(E4&lt;=C21,E5&gt;C21),G4,0))))))</f>
        <v>10020</v>
      </c>
      <c r="I21" s="254">
        <f>IF(B21=0,0,IF(C21&lt;=A21,G21,0))</f>
        <v>10300</v>
      </c>
      <c r="J21" s="255">
        <f aca="true" t="shared" si="1" ref="J21:J52">IF(B21=0,0,IF(C21&lt;=A21,H21,0))</f>
        <v>10020</v>
      </c>
      <c r="K21" s="216">
        <v>0</v>
      </c>
      <c r="L21" s="216">
        <v>0</v>
      </c>
      <c r="M21" s="248">
        <f>IF(K21=0,L21,IF(L21=0,K21,0))</f>
        <v>0</v>
      </c>
      <c r="N21" s="250">
        <f>IF(M21=0,I21,M21)</f>
        <v>10300</v>
      </c>
      <c r="O21" s="216">
        <v>0</v>
      </c>
      <c r="P21" s="216">
        <v>0</v>
      </c>
      <c r="Q21" s="216">
        <v>0</v>
      </c>
      <c r="R21" s="251">
        <f>IF(AND(O21=0,P21=0,Q21=0),J21,IF(AND(O21&gt;0,P21=0,Q21=0),O21,IF(AND(O21=0,P21&gt;0,Q21=0),P21,IF(AND(O21=0,P21=0,Q21&gt;0),Q21,J21))))</f>
        <v>10020</v>
      </c>
      <c r="S21" s="258">
        <f>IF(C21=L17,ROUND(K18*N21/K17,0.1),N21)</f>
        <v>10300</v>
      </c>
      <c r="T21" s="259">
        <f>IF(C21=L17,ROUND(K18*R21/K17,0.1),R21)</f>
        <v>10020</v>
      </c>
      <c r="U21" s="216">
        <f>IF(AND(C21&gt;=U14,C21&lt;U16),V14,V16)</f>
        <v>3</v>
      </c>
      <c r="V21" s="216">
        <f>IF(U21=1,10,IF(U21=2,12.5,IF(U21=3,20,IF(U21=4,30))))</f>
        <v>20</v>
      </c>
      <c r="W21" s="216">
        <v>16.264</v>
      </c>
      <c r="AH21" s="223">
        <v>11200</v>
      </c>
      <c r="AI21" s="223">
        <v>11530</v>
      </c>
      <c r="AJ21" s="223">
        <v>11860</v>
      </c>
      <c r="AL21" s="223">
        <v>11200</v>
      </c>
      <c r="AM21" s="223">
        <v>11530</v>
      </c>
      <c r="AN21" s="223">
        <v>11860</v>
      </c>
      <c r="AO21" s="207"/>
      <c r="AP21" s="223">
        <v>11200</v>
      </c>
      <c r="AQ21" s="223">
        <v>11860</v>
      </c>
      <c r="AR21" s="223">
        <v>11860</v>
      </c>
      <c r="AT21" s="208"/>
      <c r="AU21" s="209"/>
      <c r="AV21" s="209"/>
      <c r="AX21" s="207"/>
      <c r="AY21" s="207"/>
      <c r="AZ21" s="207"/>
      <c r="BB21" s="207"/>
      <c r="BC21" s="207"/>
      <c r="BD21" s="207"/>
    </row>
    <row r="22" spans="1:56" ht="15">
      <c r="A22" s="216">
        <f aca="true" t="shared" si="2" ref="A22:A52">A21</f>
        <v>18</v>
      </c>
      <c r="B22" s="216">
        <f t="shared" si="0"/>
        <v>1</v>
      </c>
      <c r="C22" s="216">
        <v>3</v>
      </c>
      <c r="D22" s="216">
        <v>31</v>
      </c>
      <c r="F22" s="225" t="str">
        <f>IF(C22=L17,CONCATENATE(K16,"-",K17,"/",L16,"/",M16),"March-10")</f>
        <v>March-10</v>
      </c>
      <c r="G22" s="226">
        <f>IF(AND(F9&lt;=C22),H9,IF(AND(F8&lt;=C22,F9&gt;C22),H8,IF(AND(F7&lt;=C22,F8&gt;C22),H7,IF(AND(F6&lt;=C22,F7&gt;C22),H6,IF(AND(F5&lt;=C22,F6&gt;C22),H5,IF(AND(F4&lt;=C22,F5&gt;C22),H4,0))))))</f>
        <v>10300</v>
      </c>
      <c r="H22" s="226">
        <f>IF(AND(E9&lt;=C22),G9,IF(AND(E8&lt;=C22,E9&gt;C22),G8,IF(AND(E7&lt;=C22,E8&gt;C22),G7,IF(AND(E6&lt;=C22,E7&gt;C22),G6,IF(AND(E5&lt;=C22,E6&gt;C22),G5,IF(AND(E4&lt;=C22,E5&gt;C22),G4,0))))))</f>
        <v>10020</v>
      </c>
      <c r="I22" s="254">
        <f aca="true" t="shared" si="3" ref="I22:I52">IF(B22=0,0,IF(C22&lt;=A22,G22,0))</f>
        <v>10300</v>
      </c>
      <c r="J22" s="255">
        <f t="shared" si="1"/>
        <v>10020</v>
      </c>
      <c r="K22" s="216">
        <f>IF(AND(F9=C22,B9=3),H8,IF(AND(F8=C22,F9&gt;C22,B8=3),H7,IF(AND(F7=C22,F8&gt;C22,B7=3),H6,IF(AND(F6=C22,F7&gt;C22,B6=3),H5,IF(AND(F5=C22,F6&gt;C22,B5=3),H4,0)))))</f>
        <v>0</v>
      </c>
      <c r="L22" s="216">
        <f>IF(AND(F9=C22,B9=4,F9=F8),H8,IF(AND(F8=C22,F9&gt;C22,B8=4,F8=F7),H7,IF(AND(F7=C22,F8&gt;C22,B7=4,F7=F6),H6,IF(AND(F6=C22,F7&gt;C22,B6=4,F6=F5),H4,0))))</f>
        <v>0</v>
      </c>
      <c r="M22" s="248">
        <f aca="true" t="shared" si="4" ref="M22:M50">IF(K22=0,L22,IF(L22=0,K22,0))</f>
        <v>0</v>
      </c>
      <c r="N22" s="250">
        <f aca="true" t="shared" si="5" ref="N22:N50">IF(M22=0,I22,M22)</f>
        <v>10300</v>
      </c>
      <c r="O22" s="216">
        <f>IF(AND(F9=C22,B9=2),G8,IF(AND(F8=C22,F9&gt;C22,B8=2),G7,IF(AND(F7=C22,F8&gt;C22,B7=2),G6,IF(AND(F6=C22,F7&gt;C22,B6=2),G5,IF(AND(F5=C22,F6&gt;C22,B5=2),G4,0)))))</f>
        <v>0</v>
      </c>
      <c r="P22" s="216">
        <f>IF(AND(F9=C22,B9=3),G8,IF(AND(F8=C22,F9&gt;C22,B8=3),G7,IF(AND(F7=C22,F8&gt;C22,B7=3),G6,IF(AND(F6=C22,F7&gt;C22,B6=3),G5,IF(AND(F5=C22,F6&gt;C22,B5=3),G4,0)))))</f>
        <v>0</v>
      </c>
      <c r="Q22" s="216">
        <f>IF(AND(F9=C22,B9=4,F9=F8),G8,IF(AND(F8=C22,F9&gt;C22,B8=4,F8=F7),G7,IF(AND(F7=C22,F8&gt;C22,B7=4,F7=F6),G6,IF(AND(F6=C22,F7&gt;C22,B6=4,F6=F5),G4,0))))</f>
        <v>0</v>
      </c>
      <c r="R22" s="251">
        <f aca="true" t="shared" si="6" ref="R22:R52">IF(AND(O22=0,P22=0,Q22=0),J22,IF(AND(O22&gt;0,P22=0,Q22=0),O22,IF(AND(O22=0,P22&gt;0,Q22=0),P22,IF(AND(O22=0,P22=0,Q22&gt;0),Q22,J22))))</f>
        <v>10020</v>
      </c>
      <c r="S22" s="258">
        <f>IF(C22=L17,ROUND(K18*N22/K17,0.1),N22)</f>
        <v>10300</v>
      </c>
      <c r="T22" s="259">
        <f>IF(C22=L17,ROUND(K18*R22/K17,0.1),R22)</f>
        <v>10020</v>
      </c>
      <c r="U22" s="216">
        <f>IF(AND(C22&gt;=U14,C22&lt;U16),V14,V16)</f>
        <v>3</v>
      </c>
      <c r="V22" s="216">
        <f>IF(U22=1,10,IF(U22=2,12.5,IF(U22=3,20,IF(U22=4,30))))</f>
        <v>20</v>
      </c>
      <c r="W22" s="216">
        <v>16.264</v>
      </c>
      <c r="AH22" s="223">
        <v>11530</v>
      </c>
      <c r="AI22" s="223">
        <v>11860</v>
      </c>
      <c r="AJ22" s="223">
        <v>12190</v>
      </c>
      <c r="AL22" s="223">
        <v>11530</v>
      </c>
      <c r="AM22" s="223">
        <v>11860</v>
      </c>
      <c r="AN22" s="223">
        <v>12190</v>
      </c>
      <c r="AO22" s="207"/>
      <c r="AP22" s="223">
        <v>11530</v>
      </c>
      <c r="AQ22" s="223">
        <v>12190</v>
      </c>
      <c r="AR22" s="223">
        <v>12190</v>
      </c>
      <c r="AT22" s="208"/>
      <c r="AU22" s="209"/>
      <c r="AV22" s="209"/>
      <c r="AX22" s="207"/>
      <c r="AY22" s="207"/>
      <c r="AZ22" s="207"/>
      <c r="BB22" s="207"/>
      <c r="BC22" s="207"/>
      <c r="BD22" s="207"/>
    </row>
    <row r="23" spans="1:56" ht="15">
      <c r="A23" s="216">
        <f t="shared" si="2"/>
        <v>18</v>
      </c>
      <c r="B23" s="216">
        <f t="shared" si="0"/>
        <v>1</v>
      </c>
      <c r="C23" s="216">
        <v>4</v>
      </c>
      <c r="D23" s="216">
        <v>30</v>
      </c>
      <c r="F23" s="225" t="str">
        <f>IF(C23=L17,CONCATENATE(K16,"-",K17,"/",L16,"/",M16),"April-10")</f>
        <v>April-10</v>
      </c>
      <c r="G23" s="226">
        <f>IF(AND(F9&lt;=C23),H9,IF(AND(F8&lt;=C23,F9&gt;C23),H8,IF(AND(F7&lt;=C23,F8&gt;C23),H7,IF(AND(F6&lt;=C23,F7&gt;C23),H6,IF(AND(F5&lt;=C23,F6&gt;C23),H5,IF(AND(F4&lt;=C23,F5&gt;C23),H4,0))))))</f>
        <v>10300</v>
      </c>
      <c r="H23" s="226">
        <f>IF(AND(E9&lt;=C23),G9,IF(AND(E8&lt;=C23,E9&gt;C23),G8,IF(AND(E7&lt;=C23,E8&gt;C23),G7,IF(AND(E6&lt;=C23,E7&gt;C23),G6,IF(AND(E5&lt;=C23,E6&gt;C23),G5,IF(AND(E4&lt;=C23,E5&gt;C23),G4,0))))))</f>
        <v>10020</v>
      </c>
      <c r="I23" s="254">
        <f t="shared" si="3"/>
        <v>10300</v>
      </c>
      <c r="J23" s="255">
        <f t="shared" si="1"/>
        <v>10020</v>
      </c>
      <c r="K23" s="216">
        <f>IF(AND(F9=C23,B9=3),H8,IF(AND(F8=C23,F9&gt;C23,B8=3),H7,IF(AND(F7=C23,F8&gt;C23,B7=3),H6,IF(AND(F6=C23,F7&gt;C23,B6=3),H5,IF(AND(F5=C23,F6&gt;C23,B5=3),H4,0)))))</f>
        <v>0</v>
      </c>
      <c r="L23" s="216">
        <f>IF(AND(F9=C23,B9=4,F9=F8),H8,IF(AND(F8=C23,F9&gt;C23,B8=4,F8=F7),H7,IF(AND(F7=C23,F8&gt;C23,B7=4,F7=F6),H6,IF(AND(F6=C23,F7&gt;C23,B6=4,F6=F5),H4,0))))</f>
        <v>0</v>
      </c>
      <c r="M23" s="248">
        <f t="shared" si="4"/>
        <v>0</v>
      </c>
      <c r="N23" s="250">
        <f t="shared" si="5"/>
        <v>10300</v>
      </c>
      <c r="O23" s="216">
        <f>IF(AND(F9=C23,B9=2),G8,IF(AND(F8=C23,F9&gt;C23,B8=2),G7,IF(AND(F7=C23,F8&gt;C23,B7=2),G6,IF(AND(F6=C23,F7&gt;C23,B6=2),G5,IF(AND(F5=C23,F6&gt;C23,B5=2),G4,0)))))</f>
        <v>0</v>
      </c>
      <c r="P23" s="216">
        <f>IF(AND(F9=C23,B9=3),G8,IF(AND(F8=C23,F9&gt;C23,B8=3),G7,IF(AND(F7=C23,F8&gt;C23,B7=3),G6,IF(AND(F6=C23,F7&gt;C23,B6=3),G5,IF(AND(F5=C23,F6&gt;C23,B5=3),G4,0)))))</f>
        <v>0</v>
      </c>
      <c r="Q23" s="216">
        <f>IF(AND(F9=C23,B9=4,F9=F8),G8,IF(AND(F8=C23,F9&gt;C23,B8=4,F8=F7),G7,IF(AND(F7=C23,F8&gt;C23,B7=4,F7=F6),G6,IF(AND(F6=C23,F7&gt;C23,B6=4,F6=F5),G4,0))))</f>
        <v>0</v>
      </c>
      <c r="R23" s="251">
        <f t="shared" si="6"/>
        <v>10020</v>
      </c>
      <c r="S23" s="258">
        <f>IF(C23=L17,ROUND(K18*N23/K17,0.1),N23)</f>
        <v>10300</v>
      </c>
      <c r="T23" s="259">
        <f>IF(C23=L17,ROUND(K18*R23/K17,0.1),R23)</f>
        <v>10020</v>
      </c>
      <c r="U23" s="216">
        <f>IF(AND(C23&gt;=U14,C23&lt;U16),V14,V16)</f>
        <v>3</v>
      </c>
      <c r="V23" s="216">
        <f aca="true" t="shared" si="7" ref="V23:V33">IF(U23=1,10,IF(U23=2,12.5,IF(U23=3,20,IF(U23=4,30))))</f>
        <v>20</v>
      </c>
      <c r="W23" s="216">
        <v>16.264</v>
      </c>
      <c r="AH23" s="223">
        <v>11860</v>
      </c>
      <c r="AI23" s="223">
        <v>12190</v>
      </c>
      <c r="AJ23" s="223">
        <v>12550</v>
      </c>
      <c r="AL23" s="223">
        <v>11860</v>
      </c>
      <c r="AM23" s="223">
        <v>12190</v>
      </c>
      <c r="AN23" s="223">
        <v>12550</v>
      </c>
      <c r="AO23" s="207"/>
      <c r="AP23" s="223">
        <v>11860</v>
      </c>
      <c r="AQ23" s="223">
        <v>12550</v>
      </c>
      <c r="AR23" s="223">
        <v>12550</v>
      </c>
      <c r="AT23" s="208"/>
      <c r="AU23" s="209"/>
      <c r="AV23" s="209"/>
      <c r="AX23" s="207"/>
      <c r="AY23" s="207"/>
      <c r="AZ23" s="207"/>
      <c r="BB23" s="207"/>
      <c r="BC23" s="207"/>
      <c r="BD23" s="207"/>
    </row>
    <row r="24" spans="1:56" ht="15">
      <c r="A24" s="216">
        <f t="shared" si="2"/>
        <v>18</v>
      </c>
      <c r="B24" s="216">
        <f t="shared" si="0"/>
        <v>1</v>
      </c>
      <c r="C24" s="216">
        <v>5</v>
      </c>
      <c r="D24" s="216">
        <v>31</v>
      </c>
      <c r="F24" s="225" t="str">
        <f>IF(C24=L17,CONCATENATE(K16,"-",K17,"/",L16,"/",M16),"May-10")</f>
        <v>May-10</v>
      </c>
      <c r="G24" s="226">
        <f>IF(AND(F9&lt;=C24),H9,IF(AND(F8&lt;=C24,F9&gt;C24),H8,IF(AND(F7&lt;=C24,F8&gt;C24),H7,IF(AND(F6&lt;=C24,F7&gt;C24),H6,IF(AND(F5&lt;=C24,F6&gt;C24),H5,IF(AND(F4&lt;=C24,F5&gt;C24),H4,0))))))</f>
        <v>10300</v>
      </c>
      <c r="H24" s="226">
        <f>IF(AND(E9&lt;=C24),G9,IF(AND(E8&lt;=C24,E9&gt;C24),G8,IF(AND(E7&lt;=C24,E8&gt;C24),G7,IF(AND(E6&lt;=C24,E7&gt;C24),G6,IF(AND(E5&lt;=C24,E6&gt;C24),G5,IF(AND(E4&lt;=C24,E5&gt;C24),G4,0))))))</f>
        <v>10020</v>
      </c>
      <c r="I24" s="254">
        <f t="shared" si="3"/>
        <v>10300</v>
      </c>
      <c r="J24" s="255">
        <f t="shared" si="1"/>
        <v>10020</v>
      </c>
      <c r="K24" s="216">
        <f>IF(AND(F9=C24,B9=3),H8,IF(AND(F8=C24,F9&gt;C24,B8=3),H7,IF(AND(F7=C24,F8&gt;C24,B7=3),H6,IF(AND(F6=C24,F7&gt;C24,B6=3),H5,IF(AND(F5=C24,F6&gt;C24,B5=3),H4,0)))))</f>
        <v>0</v>
      </c>
      <c r="L24" s="216">
        <f>IF(AND(F9=C24,B9=4,F9=F8),H8,IF(AND(F8=C24,F9&gt;C24,B8=4,F8=F7),H7,IF(AND(F7=C24,F8&gt;C24,B7=4,F7=F6),H6,IF(AND(F6=C24,F7&gt;C24,B6=4,F6=F5),H4,0))))</f>
        <v>0</v>
      </c>
      <c r="M24" s="248">
        <f t="shared" si="4"/>
        <v>0</v>
      </c>
      <c r="N24" s="250">
        <f t="shared" si="5"/>
        <v>10300</v>
      </c>
      <c r="O24" s="216">
        <f>IF(AND(F9=C24,B9=2),G8,IF(AND(F8=C24,F9&gt;C24,B8=2),G7,IF(AND(F7=C24,F8&gt;C24,B7=2),G6,IF(AND(F6=C24,F7&gt;C24,B6=2),G5,IF(AND(F5=C24,F6&gt;C24,B5=2),G4,0)))))</f>
        <v>0</v>
      </c>
      <c r="P24" s="216">
        <f>IF(AND(F9=C24,B9=3),G8,IF(AND(F8=C24,F9&gt;C24,B8=3),G7,IF(AND(F7=C24,F8&gt;C24,B7=3),G6,IF(AND(F6=C24,F7&gt;C24,B6=3),G5,IF(AND(F5=C24,F6&gt;C24,B5=3),G4,0)))))</f>
        <v>0</v>
      </c>
      <c r="Q24" s="216">
        <f>IF(AND(F9=C24,B9=4,F9=F8),G8,IF(AND(F8=C24,F9&gt;C24,B8=4,F8=F7),G7,IF(AND(F7=C24,F8&gt;C24,B7=4,F7=F6),G6,IF(AND(F6=C24,F7&gt;C24,B6=4,F6=F5),G4,0))))</f>
        <v>0</v>
      </c>
      <c r="R24" s="251">
        <f t="shared" si="6"/>
        <v>10020</v>
      </c>
      <c r="S24" s="258">
        <f>IF(C24=L17,ROUND(K18*N24/K17,0.1),N24)</f>
        <v>10300</v>
      </c>
      <c r="T24" s="259">
        <f>IF(C24=L17,ROUND(K18*R24/K17,0.1),R24)</f>
        <v>10020</v>
      </c>
      <c r="U24" s="216">
        <f>IF(AND(C24&gt;=U14,C24&lt;U16),V14,V16)</f>
        <v>3</v>
      </c>
      <c r="V24" s="216">
        <f t="shared" si="7"/>
        <v>20</v>
      </c>
      <c r="W24" s="216">
        <v>16.264</v>
      </c>
      <c r="AH24" s="223">
        <v>12190</v>
      </c>
      <c r="AI24" s="223">
        <v>12550</v>
      </c>
      <c r="AJ24" s="223">
        <v>12910</v>
      </c>
      <c r="AL24" s="223">
        <v>12190</v>
      </c>
      <c r="AM24" s="223">
        <v>12550</v>
      </c>
      <c r="AN24" s="223">
        <v>12910</v>
      </c>
      <c r="AO24" s="207"/>
      <c r="AP24" s="223">
        <v>12190</v>
      </c>
      <c r="AQ24" s="223">
        <v>12910</v>
      </c>
      <c r="AR24" s="223">
        <v>12910</v>
      </c>
      <c r="AT24" s="208"/>
      <c r="AU24" s="209"/>
      <c r="AV24" s="209"/>
      <c r="AX24" s="207"/>
      <c r="AY24" s="207"/>
      <c r="AZ24" s="207"/>
      <c r="BB24" s="207"/>
      <c r="BC24" s="207"/>
      <c r="BD24" s="207"/>
    </row>
    <row r="25" spans="1:56" ht="15">
      <c r="A25" s="216">
        <f t="shared" si="2"/>
        <v>18</v>
      </c>
      <c r="B25" s="216">
        <f t="shared" si="0"/>
        <v>1</v>
      </c>
      <c r="C25" s="216">
        <v>6</v>
      </c>
      <c r="D25" s="216">
        <v>30</v>
      </c>
      <c r="F25" s="225" t="str">
        <f>IF(C25=L17,CONCATENATE(K16,"-",K17,"/",L16,"/",M16),"June-10")</f>
        <v>June-10</v>
      </c>
      <c r="G25" s="226">
        <f>IF(AND(F9&lt;=C25),H9,IF(AND(F8&lt;=C25,F9&gt;C25),H8,IF(AND(F7&lt;=C25,F8&gt;C25),H7,IF(AND(F6&lt;=C25,F7&gt;C25),H6,IF(AND(F5&lt;=C25,F6&gt;C25),H5,IF(AND(F4&lt;=C25,F5&gt;C25),H4,0))))))</f>
        <v>10300</v>
      </c>
      <c r="H25" s="226">
        <f>IF(AND(E9&lt;=C25),G9,IF(AND(E8&lt;=C25,E9&gt;C25),G8,IF(AND(E7&lt;=C25,E8&gt;C25),G7,IF(AND(E6&lt;=C25,E7&gt;C25),G6,IF(AND(E5&lt;=C25,E6&gt;C25),G5,IF(AND(E4&lt;=C25,E5&gt;C25),G4,0))))))</f>
        <v>10020</v>
      </c>
      <c r="I25" s="254">
        <f t="shared" si="3"/>
        <v>10300</v>
      </c>
      <c r="J25" s="255">
        <f t="shared" si="1"/>
        <v>10020</v>
      </c>
      <c r="K25" s="216">
        <f>IF(AND(F9=C25,B9=3),H8,IF(AND(F8=C25,F9&gt;C25,B8=3),H7,IF(AND(F7=C25,F8&gt;C25,B7=3),H6,IF(AND(F6=C25,F7&gt;C25,B6=3),H5,IF(AND(F5=C25,F6&gt;C25,B5=3),H4,0)))))</f>
        <v>0</v>
      </c>
      <c r="L25" s="216">
        <f>IF(AND(F9=C25,B9=4,F9=F8),H8,IF(AND(F8=C25,F9&gt;C25,B8=4,F8=F7),H7,IF(AND(F7=C25,F8&gt;C25,B7=4,F7=F6),H6,IF(AND(F6=C25,F7&gt;C25,B6=4,F6=F5),H4,0))))</f>
        <v>0</v>
      </c>
      <c r="M25" s="248">
        <f t="shared" si="4"/>
        <v>0</v>
      </c>
      <c r="N25" s="250">
        <f t="shared" si="5"/>
        <v>10300</v>
      </c>
      <c r="O25" s="216">
        <f>IF(AND(F9=C25,B9=2),G8,IF(AND(F8=C25,F9&gt;C25,B8=2),G7,IF(AND(F7=C25,F8&gt;C25,B7=2),G6,IF(AND(F6=C25,F7&gt;C25,B6=2),G5,IF(AND(F5=C25,F6&gt;C25,B5=2),G4,0)))))</f>
        <v>0</v>
      </c>
      <c r="P25" s="216">
        <f>IF(AND(F9=C25,B9=3),G8,IF(AND(F8=C25,F9&gt;C25,B8=3),G7,IF(AND(F7=C25,F8&gt;C25,B7=3),G6,IF(AND(F6=C25,F7&gt;C25,B6=3),G5,IF(AND(F5=C25,F6&gt;C25,B5=3),G4,0)))))</f>
        <v>0</v>
      </c>
      <c r="Q25" s="216">
        <f>IF(AND(F9=C25,B9=4,F9=F8),G8,IF(AND(F8=C25,F9&gt;C25,B8=4,F8=F7),G7,IF(AND(F7=C25,F8&gt;C25,B7=4,F7=F6),G6,IF(AND(F6=C25,F7&gt;C25,B6=4,F6=F5),G4,0))))</f>
        <v>0</v>
      </c>
      <c r="R25" s="251">
        <f t="shared" si="6"/>
        <v>10020</v>
      </c>
      <c r="S25" s="258">
        <f>IF(C25=L17,ROUND(K18*N25/K17,0.1),N25)</f>
        <v>10300</v>
      </c>
      <c r="T25" s="259">
        <f>IF(C25=L17,ROUND(K18*R25/K17,0.1),R25)</f>
        <v>10020</v>
      </c>
      <c r="U25" s="216">
        <f>IF(AND(C25&gt;=U14,C25&lt;U16),V14,V16)</f>
        <v>3</v>
      </c>
      <c r="V25" s="216">
        <f t="shared" si="7"/>
        <v>20</v>
      </c>
      <c r="W25" s="216">
        <v>16.264</v>
      </c>
      <c r="AH25" s="223">
        <v>12550</v>
      </c>
      <c r="AI25" s="223">
        <v>12910</v>
      </c>
      <c r="AJ25" s="223">
        <v>13270</v>
      </c>
      <c r="AL25" s="223">
        <v>12550</v>
      </c>
      <c r="AM25" s="223">
        <v>12910</v>
      </c>
      <c r="AN25" s="223">
        <v>13270</v>
      </c>
      <c r="AO25" s="207"/>
      <c r="AP25" s="223">
        <v>12550</v>
      </c>
      <c r="AQ25" s="223">
        <v>13270</v>
      </c>
      <c r="AR25" s="223">
        <v>13270</v>
      </c>
      <c r="AT25" s="208"/>
      <c r="AU25" s="209"/>
      <c r="AV25" s="209"/>
      <c r="AX25" s="207"/>
      <c r="AY25" s="207"/>
      <c r="AZ25" s="207"/>
      <c r="BB25" s="207"/>
      <c r="BC25" s="207"/>
      <c r="BD25" s="207"/>
    </row>
    <row r="26" spans="1:56" ht="15">
      <c r="A26" s="216">
        <f t="shared" si="2"/>
        <v>18</v>
      </c>
      <c r="B26" s="216">
        <f t="shared" si="0"/>
        <v>1</v>
      </c>
      <c r="C26" s="216">
        <v>7</v>
      </c>
      <c r="D26" s="216">
        <v>31</v>
      </c>
      <c r="F26" s="225" t="str">
        <f>IF(C26=L17,CONCATENATE(K16,"-",K17,"/",L16,"/",M16),"July-10")</f>
        <v>July-10</v>
      </c>
      <c r="G26" s="226">
        <f>IF(AND(F9&lt;=C26),H9,IF(AND(F8&lt;=C26,F9&gt;C26),H8,IF(AND(F7&lt;=C26,F8&gt;C26),H7,IF(AND(F6&lt;=C26,F7&gt;C26),H6,IF(AND(F5&lt;=C26,F6&gt;C26),H5,IF(AND(F4&lt;=C26,F5&gt;C26),H4,0))))))</f>
        <v>10300</v>
      </c>
      <c r="H26" s="226">
        <f>IF(AND(E9&lt;=C26),G9,IF(AND(E8&lt;=C26,E9&gt;C26),G8,IF(AND(E7&lt;=C26,E8&gt;C26),G7,IF(AND(E6&lt;=C26,E7&gt;C26),G6,IF(AND(E5&lt;=C26,E6&gt;C26),G5,IF(AND(E4&lt;=C26,E5&gt;C26),G4,0))))))</f>
        <v>10020</v>
      </c>
      <c r="I26" s="254">
        <f t="shared" si="3"/>
        <v>10300</v>
      </c>
      <c r="J26" s="255">
        <f t="shared" si="1"/>
        <v>10020</v>
      </c>
      <c r="K26" s="216">
        <f>IF(AND(F9=C26,B9=3),H8,IF(AND(F8=C26,F9&gt;C26,B8=3),H7,IF(AND(F7=C26,F8&gt;C26,B7=3),H6,IF(AND(F6=C26,F7&gt;C26,B6=3),H5,IF(AND(F5=C26,F6&gt;C26,B5=3),H4,0)))))</f>
        <v>0</v>
      </c>
      <c r="L26" s="216">
        <f>IF(AND(F9=C26,B9=4,F9=F8),H8,IF(AND(F8=C26,F9&gt;C26,B8=4,F8=F7),H7,IF(AND(F7=C26,F8&gt;C26,B7=4,F7=F6),H6,IF(AND(F6=C26,F7&gt;C26,B6=4,F6=F5),H4,0))))</f>
        <v>0</v>
      </c>
      <c r="M26" s="248">
        <f t="shared" si="4"/>
        <v>0</v>
      </c>
      <c r="N26" s="250">
        <f t="shared" si="5"/>
        <v>10300</v>
      </c>
      <c r="O26" s="216">
        <f>IF(AND(F9=C26,B9=2),G8,IF(AND(F8=C26,F9&gt;C26,B8=2),G7,IF(AND(F7=C26,F8&gt;C26,B7=2),G6,IF(AND(F6=C26,F7&gt;C26,B6=2),G5,IF(AND(F5=C26,F6&gt;C26,B5=2),G4,0)))))</f>
        <v>0</v>
      </c>
      <c r="P26" s="216">
        <f>IF(AND(F9=C26,B9=3),G8,IF(AND(F8=C26,F9&gt;C26,B8=3),G7,IF(AND(F7=C26,F8&gt;C26,B7=3),G6,IF(AND(F6=C26,F7&gt;C26,B6=3),G5,IF(AND(F5=C26,F6&gt;C26,B5=3),G4,0)))))</f>
        <v>0</v>
      </c>
      <c r="Q26" s="216">
        <f>IF(AND(F9=C26,B9=4,F9=F8),G8,IF(AND(F8=C26,F9&gt;C26,B8=4,F8=F7),G7,IF(AND(F7=C26,F8&gt;C26,B7=4,F7=F6),G6,IF(AND(F6=C26,F7&gt;C26,B6=4,F6=F5),G4,0))))</f>
        <v>0</v>
      </c>
      <c r="R26" s="251">
        <f t="shared" si="6"/>
        <v>10020</v>
      </c>
      <c r="S26" s="258">
        <f>IF(C26=L17,ROUND(K18*N26/K17,0.1),N26)</f>
        <v>10300</v>
      </c>
      <c r="T26" s="259">
        <f>IF(C26=L17,ROUND(K18*R26/K17,0.1),R26)</f>
        <v>10020</v>
      </c>
      <c r="U26" s="216">
        <f>IF(AND(C26&gt;=U14,C26&lt;U16),V14,V16)</f>
        <v>3</v>
      </c>
      <c r="V26" s="216">
        <f t="shared" si="7"/>
        <v>20</v>
      </c>
      <c r="W26" s="216">
        <v>24.824</v>
      </c>
      <c r="AH26" s="223">
        <v>12910</v>
      </c>
      <c r="AI26" s="223">
        <v>13270</v>
      </c>
      <c r="AJ26" s="223">
        <v>13660</v>
      </c>
      <c r="AL26" s="223">
        <v>12910</v>
      </c>
      <c r="AM26" s="223">
        <v>13270</v>
      </c>
      <c r="AN26" s="223">
        <v>13660</v>
      </c>
      <c r="AO26" s="207"/>
      <c r="AP26" s="223">
        <v>12910</v>
      </c>
      <c r="AQ26" s="223">
        <v>13660</v>
      </c>
      <c r="AR26" s="223">
        <v>13660</v>
      </c>
      <c r="AT26" s="208"/>
      <c r="AU26" s="209"/>
      <c r="AV26" s="209"/>
      <c r="AX26" s="207"/>
      <c r="AY26" s="207"/>
      <c r="AZ26" s="207"/>
      <c r="BB26" s="207"/>
      <c r="BC26" s="207"/>
      <c r="BD26" s="207"/>
    </row>
    <row r="27" spans="1:56" ht="15">
      <c r="A27" s="216">
        <f t="shared" si="2"/>
        <v>18</v>
      </c>
      <c r="B27" s="216">
        <f t="shared" si="0"/>
        <v>1</v>
      </c>
      <c r="C27" s="216">
        <v>8</v>
      </c>
      <c r="D27" s="216">
        <v>31</v>
      </c>
      <c r="F27" s="225" t="str">
        <f>IF(C27=L17,CONCATENATE(K16,"-",K17,"/",L16,"/",M16),"August-10")</f>
        <v>August-10</v>
      </c>
      <c r="G27" s="226">
        <f>IF(AND(F9&lt;=C27),H9,IF(AND(F8&lt;=C27,F9&gt;C27),H8,IF(AND(F7&lt;=C27,F8&gt;C27),H7,IF(AND(F6&lt;=C27,F7&gt;C27),H6,IF(AND(F5&lt;=C27,F6&gt;C27),H5,IF(AND(F4&lt;=C27,F5&gt;C27),H4,0))))))</f>
        <v>10300</v>
      </c>
      <c r="H27" s="226">
        <f>IF(AND(E9&lt;=C27),G9,IF(AND(E8&lt;=C27,E9&gt;C27),G8,IF(AND(E7&lt;=C27,E8&gt;C27),G7,IF(AND(E6&lt;=C27,E7&gt;C27),G6,IF(AND(E5&lt;=C27,E6&gt;C27),G5,IF(AND(E4&lt;=C27,E5&gt;C27),G4,0))))))</f>
        <v>10020</v>
      </c>
      <c r="I27" s="254">
        <f t="shared" si="3"/>
        <v>10300</v>
      </c>
      <c r="J27" s="255">
        <f t="shared" si="1"/>
        <v>10020</v>
      </c>
      <c r="K27" s="216">
        <f>IF(AND(F9=C27,B9=3),H8,IF(AND(F8=C27,F9&gt;C27,B8=3),H7,IF(AND(F7=C27,F8&gt;C27,B7=3),H6,IF(AND(F6=C27,F7&gt;C27,B6=3),H5,IF(AND(F5=C27,F6&gt;C27,B5=3),H4,0)))))</f>
        <v>0</v>
      </c>
      <c r="L27" s="216">
        <f>IF(AND(F9=C27,B9=4,F9=F8),H8,IF(AND(F8=C27,F9&gt;C27,B8=4,F8=F7),H7,IF(AND(F7=C27,F8&gt;C27,B7=4,F7=F6),H6,IF(AND(F6=C27,F7&gt;C27,B6=4,F6=F5),H4,0))))</f>
        <v>0</v>
      </c>
      <c r="M27" s="248">
        <f t="shared" si="4"/>
        <v>0</v>
      </c>
      <c r="N27" s="250">
        <f t="shared" si="5"/>
        <v>10300</v>
      </c>
      <c r="O27" s="216">
        <f>IF(AND(F9=C27,B9=2),G8,IF(AND(F8=C27,F9&gt;C27,B8=2),G7,IF(AND(F7=C27,F8&gt;C27,B7=2),G6,IF(AND(F6=C27,F7&gt;C27,B6=2),G5,IF(AND(F5=C27,F6&gt;C27,B5=2),G4,0)))))</f>
        <v>0</v>
      </c>
      <c r="P27" s="216">
        <f>IF(AND(F9=C27,B9=3),G8,IF(AND(F8=C27,F9&gt;C27,B8=3),G7,IF(AND(F7=C27,F8&gt;C27,B7=3),G6,IF(AND(F6=C27,F7&gt;C27,B6=3),G5,IF(AND(F5=C27,F6&gt;C27,B5=3),G4,0)))))</f>
        <v>0</v>
      </c>
      <c r="Q27" s="216">
        <f>IF(AND(F9=C27,B9=4,F9=F8),G8,IF(AND(F8=C27,F9&gt;C27,B8=4,F8=F7),G7,IF(AND(F7=C27,F8&gt;C27,B7=4,F7=F6),G6,IF(AND(F6=C27,F7&gt;C27,B6=4,F6=F5),G4,0))))</f>
        <v>0</v>
      </c>
      <c r="R27" s="251">
        <f t="shared" si="6"/>
        <v>10020</v>
      </c>
      <c r="S27" s="258">
        <f>IF(C27=L17,ROUND(K18*N27/K17,0.1),N27)</f>
        <v>10300</v>
      </c>
      <c r="T27" s="259">
        <f>IF(C27=L17,ROUND(K18*R27/K17,0.1),R27)</f>
        <v>10020</v>
      </c>
      <c r="U27" s="216">
        <f>IF(AND(C27&gt;=U14,C27&lt;U16),V14,V16)</f>
        <v>3</v>
      </c>
      <c r="V27" s="216">
        <f t="shared" si="7"/>
        <v>20</v>
      </c>
      <c r="W27" s="216">
        <v>24.824</v>
      </c>
      <c r="AH27" s="223">
        <v>13270</v>
      </c>
      <c r="AI27" s="223">
        <v>13660</v>
      </c>
      <c r="AJ27" s="223">
        <v>14050</v>
      </c>
      <c r="AL27" s="223">
        <v>13270</v>
      </c>
      <c r="AM27" s="223">
        <v>13660</v>
      </c>
      <c r="AN27" s="223">
        <v>14050</v>
      </c>
      <c r="AO27" s="207"/>
      <c r="AP27" s="223">
        <v>13270</v>
      </c>
      <c r="AQ27" s="223">
        <v>14050</v>
      </c>
      <c r="AR27" s="223">
        <v>14050</v>
      </c>
      <c r="AT27" s="208"/>
      <c r="AU27" s="209"/>
      <c r="AV27" s="209"/>
      <c r="AX27" s="207"/>
      <c r="AY27" s="207"/>
      <c r="AZ27" s="207"/>
      <c r="BB27" s="207"/>
      <c r="BC27" s="207"/>
      <c r="BD27" s="207"/>
    </row>
    <row r="28" spans="1:56" ht="15">
      <c r="A28" s="216">
        <f t="shared" si="2"/>
        <v>18</v>
      </c>
      <c r="B28" s="216">
        <f t="shared" si="0"/>
        <v>1</v>
      </c>
      <c r="C28" s="216">
        <v>9</v>
      </c>
      <c r="D28" s="216">
        <v>30</v>
      </c>
      <c r="F28" s="225" t="str">
        <f>IF(C28=L17,CONCATENATE(K16,"-",K17,"/",L16,"/",M16),"September-10")</f>
        <v>September-10</v>
      </c>
      <c r="G28" s="226">
        <f>IF(AND(F9&lt;=C28),H9,IF(AND(F8&lt;=C28,F9&gt;C28),H8,IF(AND(F7&lt;=C28,F8&gt;C28),H7,IF(AND(F6&lt;=C28,F7&gt;C28),H6,IF(AND(F5&lt;=C28,F6&gt;C28),H5,IF(AND(F4&lt;=C28,F5&gt;C28),H4,0))))))</f>
        <v>10300</v>
      </c>
      <c r="H28" s="226">
        <f>IF(AND(E9&lt;=C28),G9,IF(AND(E8&lt;=C28,E9&gt;C28),G8,IF(AND(E7&lt;=C28,E8&gt;C28),G7,IF(AND(E6&lt;=C28,E7&gt;C28),G6,IF(AND(E5&lt;=C28,E6&gt;C28),G5,IF(AND(E4&lt;=C28,E5&gt;C28),G4,0))))))</f>
        <v>10020</v>
      </c>
      <c r="I28" s="254">
        <f t="shared" si="3"/>
        <v>10300</v>
      </c>
      <c r="J28" s="255">
        <f t="shared" si="1"/>
        <v>10020</v>
      </c>
      <c r="K28" s="216">
        <f>IF(AND(F9=C28,B9=3),H8,IF(AND(F8=C28,F9&gt;C28,B8=3),H7,IF(AND(F7=C28,F8&gt;C28,B7=3),H6,IF(AND(F6=C28,F7&gt;C28,B6=3),H5,IF(AND(F5=C28,F6&gt;C28,B5=3),H4,0)))))</f>
        <v>0</v>
      </c>
      <c r="L28" s="216">
        <f>IF(AND(F9=C28,B9=4,F9=F8),H8,IF(AND(F8=C28,F9&gt;C28,B8=4,F8=F7),H7,IF(AND(F7=C28,F8&gt;C28,B7=4,F7=F6),H6,IF(AND(F6=C28,F7&gt;C28,B6=4,F6=F5),H4,0))))</f>
        <v>0</v>
      </c>
      <c r="M28" s="248">
        <f t="shared" si="4"/>
        <v>0</v>
      </c>
      <c r="N28" s="250">
        <f t="shared" si="5"/>
        <v>10300</v>
      </c>
      <c r="O28" s="216">
        <f>IF(AND(F9=C28,B9=2),G8,IF(AND(F8=C28,F9&gt;C28,B8=2),G7,IF(AND(F7=C28,F8&gt;C28,B7=2),G6,IF(AND(F6=C28,F7&gt;C28,B6=2),G5,IF(AND(F5=C28,F6&gt;C28,B5=2),G4,0)))))</f>
        <v>0</v>
      </c>
      <c r="P28" s="216">
        <f>IF(AND(F9=C28,B9=3),G8,IF(AND(F8=C28,F9&gt;C28,B8=3),G7,IF(AND(F7=C28,F8&gt;C28,B7=3),G6,IF(AND(F6=C28,F7&gt;C28,B6=3),G5,IF(AND(F5=C28,F6&gt;C28,B5=3),G4,0)))))</f>
        <v>0</v>
      </c>
      <c r="Q28" s="216">
        <f>IF(AND(F9=C28,B9=4,F9=F8),G8,IF(AND(F8=C28,F9&gt;C28,B8=4,F8=F7),G7,IF(AND(F7=C28,F8&gt;C28,B7=4,F7=F6),G6,IF(AND(F6=C28,F7&gt;C28,B6=4,F6=F5),G4,0))))</f>
        <v>0</v>
      </c>
      <c r="R28" s="251">
        <f t="shared" si="6"/>
        <v>10020</v>
      </c>
      <c r="S28" s="258">
        <f>IF(C28=L17,ROUND(K18*N28/K17,0.1),N28)</f>
        <v>10300</v>
      </c>
      <c r="T28" s="259">
        <f>IF(C28=L17,ROUND(K18*R28/K17,0.1),R28)</f>
        <v>10020</v>
      </c>
      <c r="U28" s="216">
        <f>IF(AND(C28&gt;=U14,C28&lt;U16),V14,V16)</f>
        <v>3</v>
      </c>
      <c r="V28" s="216">
        <f t="shared" si="7"/>
        <v>20</v>
      </c>
      <c r="W28" s="216">
        <v>24.824</v>
      </c>
      <c r="AH28" s="223">
        <v>13660</v>
      </c>
      <c r="AI28" s="223">
        <v>14050</v>
      </c>
      <c r="AJ28" s="223">
        <v>14440</v>
      </c>
      <c r="AL28" s="223">
        <v>13660</v>
      </c>
      <c r="AM28" s="223">
        <v>14050</v>
      </c>
      <c r="AN28" s="223">
        <v>14440</v>
      </c>
      <c r="AO28" s="207"/>
      <c r="AP28" s="223">
        <v>13660</v>
      </c>
      <c r="AQ28" s="223">
        <v>14440</v>
      </c>
      <c r="AR28" s="223">
        <v>14440</v>
      </c>
      <c r="AT28" s="208"/>
      <c r="AU28" s="209"/>
      <c r="AV28" s="209"/>
      <c r="AX28" s="207"/>
      <c r="AY28" s="207"/>
      <c r="AZ28" s="207"/>
      <c r="BB28" s="207"/>
      <c r="BC28" s="207"/>
      <c r="BD28" s="207"/>
    </row>
    <row r="29" spans="1:56" ht="15">
      <c r="A29" s="216">
        <f t="shared" si="2"/>
        <v>18</v>
      </c>
      <c r="B29" s="216">
        <f t="shared" si="0"/>
        <v>1</v>
      </c>
      <c r="C29" s="216">
        <v>10</v>
      </c>
      <c r="D29" s="216">
        <v>31</v>
      </c>
      <c r="F29" s="225" t="str">
        <f>IF(C29=L17,CONCATENATE(K16,"-",K17,"/",L16,"/",M16),"October-10")</f>
        <v>October-10</v>
      </c>
      <c r="G29" s="226">
        <f>IF(AND(F9&lt;=C29),H9,IF(AND(F8&lt;=C29,F9&gt;C29),H8,IF(AND(F7&lt;=C29,F8&gt;C29),H7,IF(AND(F6&lt;=C29,F7&gt;C29),H6,IF(AND(F5&lt;=C29,F6&gt;C29),H5,IF(AND(F4&lt;=C29,F5&gt;C29),H4,0))))))</f>
        <v>10600</v>
      </c>
      <c r="H29" s="226">
        <f>IF(AND(E9&lt;=C29),G9,IF(AND(E8&lt;=C29,E9&gt;C29),G8,IF(AND(E7&lt;=C29,E8&gt;C29),G7,IF(AND(E6&lt;=C29,E7&gt;C29),G6,IF(AND(E5&lt;=C29,E6&gt;C29),G5,IF(AND(E4&lt;=C29,E5&gt;C29),G4,0))))))</f>
        <v>10300</v>
      </c>
      <c r="I29" s="254">
        <f t="shared" si="3"/>
        <v>10600</v>
      </c>
      <c r="J29" s="255">
        <f t="shared" si="1"/>
        <v>10300</v>
      </c>
      <c r="K29" s="216">
        <f>IF(AND(F9=C29,B9=3),H8,IF(AND(F8=C29,F9&gt;C29,B8=3),H7,IF(AND(F7=C29,F8&gt;C29,B7=3),H6,IF(AND(F6=C29,F7&gt;C29,B6=3),H5,IF(AND(F5=C29,F6&gt;C29,B5=3),H4,0)))))</f>
        <v>0</v>
      </c>
      <c r="L29" s="216">
        <f>IF(AND(F9=C29,B9=4,F9=F8),H8,IF(AND(F8=C29,F9&gt;C29,B8=4,F8=F7),H7,IF(AND(F7=C29,F8&gt;C29,B7=4,F7=F6),H6,IF(AND(F6=C29,F7&gt;C29,B6=4,F6=F5),H4,0))))</f>
        <v>0</v>
      </c>
      <c r="M29" s="248">
        <f t="shared" si="4"/>
        <v>0</v>
      </c>
      <c r="N29" s="250">
        <f t="shared" si="5"/>
        <v>10600</v>
      </c>
      <c r="O29" s="216">
        <f>IF(AND(F9=C29,B9=2),G8,IF(AND(F8=C29,F9&gt;C29,B8=2),G7,IF(AND(F7=C29,F8&gt;C29,B7=2),G6,IF(AND(F6=C29,F7&gt;C29,B6=2),G5,IF(AND(F5=C29,F6&gt;C29,B5=2),G4,0)))))</f>
        <v>0</v>
      </c>
      <c r="P29" s="216">
        <f>IF(AND(F9=C29,B9=3),G8,IF(AND(F8=C29,F9&gt;C29,B8=3),G7,IF(AND(F7=C29,F8&gt;C29,B7=3),G6,IF(AND(F6=C29,F7&gt;C29,B6=3),G5,IF(AND(F5=C29,F6&gt;C29,B5=3),G4,0)))))</f>
        <v>0</v>
      </c>
      <c r="Q29" s="216">
        <f>IF(AND(F9=C29,B9=4,F9=F8),G8,IF(AND(F8=C29,F9&gt;C29,B8=4,F8=F7),G7,IF(AND(F7=C29,F8&gt;C29,B7=4,F7=F6),G6,IF(AND(F6=C29,F7&gt;C29,B6=4,F6=F5),G4,0))))</f>
        <v>0</v>
      </c>
      <c r="R29" s="251">
        <f t="shared" si="6"/>
        <v>10300</v>
      </c>
      <c r="S29" s="258">
        <f>IF(C29=L17,ROUND(K18*N29/K17,0.1),N29)</f>
        <v>10600</v>
      </c>
      <c r="T29" s="259">
        <f>IF(C29=L17,ROUND(K18*R29/K17,0.1),R29)</f>
        <v>10300</v>
      </c>
      <c r="U29" s="216">
        <f>IF(AND(C29&gt;=U14,C29&lt;U16),V14,V16)</f>
        <v>3</v>
      </c>
      <c r="V29" s="216">
        <f t="shared" si="7"/>
        <v>20</v>
      </c>
      <c r="W29" s="216">
        <v>24.824</v>
      </c>
      <c r="AH29" s="223">
        <v>14050</v>
      </c>
      <c r="AI29" s="223">
        <v>14440</v>
      </c>
      <c r="AJ29" s="223">
        <v>14860</v>
      </c>
      <c r="AL29" s="223">
        <v>14050</v>
      </c>
      <c r="AM29" s="223">
        <v>14440</v>
      </c>
      <c r="AN29" s="223">
        <v>14860</v>
      </c>
      <c r="AO29" s="207"/>
      <c r="AP29" s="223">
        <v>14050</v>
      </c>
      <c r="AQ29" s="223">
        <v>14860</v>
      </c>
      <c r="AR29" s="223">
        <v>14860</v>
      </c>
      <c r="AT29" s="208"/>
      <c r="AU29" s="209"/>
      <c r="AV29" s="209"/>
      <c r="AX29" s="207"/>
      <c r="AY29" s="207"/>
      <c r="AZ29" s="207"/>
      <c r="BB29" s="207"/>
      <c r="BC29" s="207"/>
      <c r="BD29" s="207"/>
    </row>
    <row r="30" spans="1:56" ht="15">
      <c r="A30" s="216">
        <f t="shared" si="2"/>
        <v>18</v>
      </c>
      <c r="B30" s="216">
        <f t="shared" si="0"/>
        <v>1</v>
      </c>
      <c r="C30" s="216">
        <v>11</v>
      </c>
      <c r="D30" s="216">
        <v>30</v>
      </c>
      <c r="F30" s="225" t="str">
        <f>IF(C30=L17,CONCATENATE(K16,"-",K17,"/",L16,"/",M16),"November-10")</f>
        <v>November-10</v>
      </c>
      <c r="G30" s="226">
        <f>IF(AND(F9&lt;=C30),H9,IF(AND(F8&lt;=C30,F9&gt;C30),H8,IF(AND(F7&lt;=C30,F8&gt;C30),H7,IF(AND(F6&lt;=C30,F7&gt;C30),H6,IF(AND(F5&lt;=C30,F6&gt;C30),H5,IF(AND(F4&lt;=C30,F5&gt;C30),H4,0))))))</f>
        <v>10600</v>
      </c>
      <c r="H30" s="226">
        <f>IF(AND(E9&lt;=C30),G9,IF(AND(E8&lt;=C30,E9&gt;C30),G8,IF(AND(E7&lt;=C30,E8&gt;C30),G7,IF(AND(E6&lt;=C30,E7&gt;C30),G6,IF(AND(E5&lt;=C30,E6&gt;C30),G5,IF(AND(E4&lt;=C30,E5&gt;C30),G4,0))))))</f>
        <v>10300</v>
      </c>
      <c r="I30" s="254">
        <f t="shared" si="3"/>
        <v>10600</v>
      </c>
      <c r="J30" s="255">
        <f t="shared" si="1"/>
        <v>10300</v>
      </c>
      <c r="K30" s="216">
        <f>IF(AND(F9=C30,B9=3),H8,IF(AND(F8=C30,F9&gt;C30,B8=3),H7,IF(AND(F7=C30,F8&gt;C30,B7=3),H6,IF(AND(F6=C30,F7&gt;C30,B6=3),H5,IF(AND(F5=C30,F6&gt;C30,B5=3),H4,0)))))</f>
        <v>0</v>
      </c>
      <c r="L30" s="216">
        <f>IF(AND(F9=C30,B9=4,F9=F8),H8,IF(AND(F8=C30,F9&gt;C30,B8=4,F8=F7),H7,IF(AND(F7=C30,F8&gt;C30,B7=4,F7=F6),H6,IF(AND(F6=C30,F7&gt;C30,B6=4,F6=F5),H4,0))))</f>
        <v>0</v>
      </c>
      <c r="M30" s="248">
        <f t="shared" si="4"/>
        <v>0</v>
      </c>
      <c r="N30" s="250">
        <f t="shared" si="5"/>
        <v>10600</v>
      </c>
      <c r="O30" s="216">
        <f>IF(AND(F9=C30,B9=2),G8,IF(AND(F8=C30,F9&gt;C30,B8=2),G7,IF(AND(F7=C30,F8&gt;C30,B7=2),G6,IF(AND(F6=C30,F7&gt;C30,B6=2),G5,IF(AND(F5=C30,F6&gt;C30,B5=2),G4,0)))))</f>
        <v>0</v>
      </c>
      <c r="P30" s="216">
        <f>IF(AND(F9=C30,B9=3),G8,IF(AND(F8=C30,F9&gt;C30,B8=3),G7,IF(AND(F7=C30,F8&gt;C30,B7=3),G6,IF(AND(F6=C30,F7&gt;C30,B6=3),G5,IF(AND(F5=C30,F6&gt;C30,B5=3),G4,0)))))</f>
        <v>0</v>
      </c>
      <c r="Q30" s="216">
        <f>IF(AND(F9=C30,B9=4,F9=F8),G8,IF(AND(F8=C30,F9&gt;C30,B8=4,F8=F7),G7,IF(AND(F7=C30,F8&gt;C30,B7=4,F7=F6),G6,IF(AND(F6=C30,F7&gt;C30,B6=4,F6=F5),G4,0))))</f>
        <v>0</v>
      </c>
      <c r="R30" s="251">
        <f t="shared" si="6"/>
        <v>10300</v>
      </c>
      <c r="S30" s="258">
        <f>IF(C30=L17,ROUND(K18*N30/K17,0.1),N30)</f>
        <v>10600</v>
      </c>
      <c r="T30" s="259">
        <f>IF(C30=L17,ROUND(K18*R30/K17,0.1),R30)</f>
        <v>10300</v>
      </c>
      <c r="U30" s="216">
        <f>IF(AND(C30&gt;=U14,C30&lt;U16),V14,V16)</f>
        <v>3</v>
      </c>
      <c r="V30" s="216">
        <f t="shared" si="7"/>
        <v>20</v>
      </c>
      <c r="W30" s="216">
        <v>24.824</v>
      </c>
      <c r="AH30" s="223">
        <v>14440</v>
      </c>
      <c r="AI30" s="223">
        <v>14860</v>
      </c>
      <c r="AJ30" s="223">
        <v>15280</v>
      </c>
      <c r="AL30" s="223">
        <v>14440</v>
      </c>
      <c r="AM30" s="223">
        <v>14860</v>
      </c>
      <c r="AN30" s="223">
        <v>15280</v>
      </c>
      <c r="AO30" s="207"/>
      <c r="AP30" s="223">
        <v>14440</v>
      </c>
      <c r="AQ30" s="223">
        <v>15280</v>
      </c>
      <c r="AR30" s="223">
        <v>15280</v>
      </c>
      <c r="AT30" s="208"/>
      <c r="AU30" s="209"/>
      <c r="AV30" s="209"/>
      <c r="AX30" s="207"/>
      <c r="AY30" s="207"/>
      <c r="AZ30" s="207"/>
      <c r="BB30" s="207"/>
      <c r="BC30" s="207"/>
      <c r="BD30" s="207"/>
    </row>
    <row r="31" spans="1:56" ht="15">
      <c r="A31" s="216">
        <f t="shared" si="2"/>
        <v>18</v>
      </c>
      <c r="B31" s="216">
        <f t="shared" si="0"/>
        <v>1</v>
      </c>
      <c r="C31" s="216">
        <v>12</v>
      </c>
      <c r="D31" s="216">
        <v>31</v>
      </c>
      <c r="F31" s="225" t="str">
        <f>IF(C31=L17,CONCATENATE(K16,"-",K17,"/",L16,"/",M16),"December-10")</f>
        <v>December-10</v>
      </c>
      <c r="G31" s="226">
        <f>IF(AND(F9&lt;=C31),H9,IF(AND(F8&lt;=C31,F9&gt;C31),H8,IF(AND(F7&lt;=C31,F8&gt;C31),H7,IF(AND(F6&lt;=C31,F7&gt;C31),H6,IF(AND(F5&lt;=C31,F6&gt;C31),H5,IF(AND(F4&lt;=C31,F5&gt;C31),H4,0))))))</f>
        <v>10600</v>
      </c>
      <c r="H31" s="226">
        <f>IF(AND(E9&lt;=C31),G9,IF(AND(E8&lt;=C31,E9&gt;C31),G8,IF(AND(E7&lt;=C31,E8&gt;C31),G7,IF(AND(E6&lt;=C31,E7&gt;C31),G6,IF(AND(E5&lt;=C31,E6&gt;C31),G5,IF(AND(E4&lt;=C31,E5&gt;C31),G4,0))))))</f>
        <v>10300</v>
      </c>
      <c r="I31" s="254">
        <f>IF(B31=0,0,IF(C31&lt;=A31,G31,0))</f>
        <v>10600</v>
      </c>
      <c r="J31" s="255">
        <f t="shared" si="1"/>
        <v>10300</v>
      </c>
      <c r="K31" s="216">
        <f>IF(AND(F9=C31,B9=3),H8,IF(AND(F8=C31,F9&gt;C31,B8=3),H7,IF(AND(F7=C31,F8&gt;C31,B7=3),H6,IF(AND(F6=C31,F7&gt;C31,B6=3),H5,IF(AND(F5=C31,F6&gt;C31,B5=3),H4,0)))))</f>
        <v>0</v>
      </c>
      <c r="L31" s="216">
        <f>IF(AND(F9=C31,B9=4,F9=F8),H8,IF(AND(F8=C31,F9&gt;C31,B8=4,F8=F7),H7,IF(AND(F7=C31,F8&gt;C31,B7=4,F7=F6),H6,IF(AND(F6=C31,F7&gt;C31,B6=4,F6=F5),H4,0))))</f>
        <v>0</v>
      </c>
      <c r="M31" s="248">
        <f t="shared" si="4"/>
        <v>0</v>
      </c>
      <c r="N31" s="250">
        <f t="shared" si="5"/>
        <v>10600</v>
      </c>
      <c r="O31" s="216">
        <f>IF(AND(F9=C31,B9=2),G8,IF(AND(F8=C31,F9&gt;C31,B8=2),G7,IF(AND(F7=C31,F8&gt;C31,B7=2),G6,IF(AND(F6=C31,F7&gt;C31,B6=2),G5,IF(AND(F5=C31,F6&gt;C31,B5=2),G4,0)))))</f>
        <v>0</v>
      </c>
      <c r="P31" s="216">
        <f>IF(AND(F9=C31,B9=3),G8,IF(AND(F8=C31,F9&gt;C31,B8=3),G7,IF(AND(F7=C31,F8&gt;C31,B7=3),G6,IF(AND(F6=C31,F7&gt;C31,B6=3),G5,IF(AND(F5=C31,F6&gt;C31,B5=3),G4,0)))))</f>
        <v>0</v>
      </c>
      <c r="Q31" s="216">
        <f>IF(AND(F9=C31,B9=4,F9=F8),G8,IF(AND(F8=C31,F9&gt;C31,B8=4,F8=F7),G7,IF(AND(F7=C31,F8&gt;C31,B7=4,F7=F6),G6,IF(AND(F6=C31,F7&gt;C31,B6=4,F6=F5),G4,0))))</f>
        <v>0</v>
      </c>
      <c r="R31" s="251">
        <f t="shared" si="6"/>
        <v>10300</v>
      </c>
      <c r="S31" s="258">
        <f>IF(C31=L17,ROUND(K18*N31/K17,0.1),N31)</f>
        <v>10600</v>
      </c>
      <c r="T31" s="259">
        <f>IF(C31=L17,ROUND(K18*R31/K17,0.1),R31)</f>
        <v>10300</v>
      </c>
      <c r="U31" s="216">
        <f>IF(AND(C31&gt;=U14,C31&lt;U16),V14,V16)</f>
        <v>3</v>
      </c>
      <c r="V31" s="216">
        <f t="shared" si="7"/>
        <v>20</v>
      </c>
      <c r="W31" s="216">
        <v>24.824</v>
      </c>
      <c r="AH31" s="223">
        <v>14860</v>
      </c>
      <c r="AI31" s="223">
        <v>15280</v>
      </c>
      <c r="AJ31" s="223">
        <v>15700</v>
      </c>
      <c r="AL31" s="223">
        <v>14860</v>
      </c>
      <c r="AM31" s="223">
        <v>15280</v>
      </c>
      <c r="AN31" s="223">
        <v>15700</v>
      </c>
      <c r="AO31" s="207"/>
      <c r="AP31" s="223">
        <v>14860</v>
      </c>
      <c r="AQ31" s="223">
        <v>15700</v>
      </c>
      <c r="AR31" s="223">
        <v>15700</v>
      </c>
      <c r="AT31" s="208"/>
      <c r="AU31" s="209"/>
      <c r="AV31" s="209"/>
      <c r="AX31" s="207"/>
      <c r="AY31" s="207"/>
      <c r="AZ31" s="207"/>
      <c r="BB31" s="207"/>
      <c r="BC31" s="207"/>
      <c r="BD31" s="207"/>
    </row>
    <row r="32" spans="1:56" ht="15">
      <c r="A32" s="216">
        <f t="shared" si="2"/>
        <v>18</v>
      </c>
      <c r="B32" s="216">
        <f t="shared" si="0"/>
        <v>1</v>
      </c>
      <c r="C32" s="216">
        <v>13</v>
      </c>
      <c r="D32" s="216">
        <v>31</v>
      </c>
      <c r="F32" s="225" t="str">
        <f>IF(C32=L17,CONCATENATE(K16,"-",K17,"/",L16,"/",M16),"January-11")</f>
        <v>January-11</v>
      </c>
      <c r="G32" s="226">
        <f>IF(AND(F9&lt;=C32),H9,IF(AND(F8&lt;=C32,F9&gt;C32),H8,IF(AND(F7&lt;=C32,F8&gt;C32),H7,IF(AND(F6&lt;=C32,F7&gt;C32),H6,IF(AND(F5&lt;=C32,F6&gt;C32),H5,IF(AND(F4&lt;=C32,F5&gt;C32),H4,0))))))</f>
        <v>10600</v>
      </c>
      <c r="H32" s="226">
        <f>IF(AND(E9&lt;=C32),G9,IF(AND(E8&lt;=C32,E9&gt;C32),G8,IF(AND(E7&lt;=C32,E8&gt;C32),G7,IF(AND(E6&lt;=C32,E7&gt;C32),G6,IF(AND(E5&lt;=C32,E6&gt;C32),G5,IF(AND(E4&lt;=C32,E5&gt;C32),G4,0))))))</f>
        <v>10300</v>
      </c>
      <c r="I32" s="254">
        <f t="shared" si="3"/>
        <v>10600</v>
      </c>
      <c r="J32" s="255">
        <f t="shared" si="1"/>
        <v>10300</v>
      </c>
      <c r="K32" s="216">
        <f>IF(AND(F9=C32,B9=3),H8,IF(AND(F8=C32,F9&gt;C32,B8=3),H7,IF(AND(F7=C32,F8&gt;C32,B7=3),H6,IF(AND(F6=C32,F7&gt;C32,B6=3),H5,IF(AND(F5=C32,F6&gt;C32,B5=3),H4,0)))))</f>
        <v>0</v>
      </c>
      <c r="L32" s="216">
        <f>IF(AND(F9=C32,B9=4,F9=F8),H8,IF(AND(F8=C32,F9&gt;C32,B8=4,F8=F7),H7,IF(AND(F7=C32,F8&gt;C32,B7=4,F7=F6),H6,IF(AND(F6=C32,F7&gt;C32,B6=4,F6=F5),H4,0))))</f>
        <v>0</v>
      </c>
      <c r="M32" s="248">
        <f t="shared" si="4"/>
        <v>0</v>
      </c>
      <c r="N32" s="250">
        <f t="shared" si="5"/>
        <v>10600</v>
      </c>
      <c r="O32" s="216">
        <f>IF(AND(F9=C32,B9=2),G8,IF(AND(F8=C32,F9&gt;C32,B8=2),G7,IF(AND(F7=C32,F8&gt;C32,B7=2),G6,IF(AND(F6=C32,F7&gt;C32,B6=2),G5,IF(AND(F5=C32,F6&gt;C32,B5=2),G4,0)))))</f>
        <v>0</v>
      </c>
      <c r="P32" s="216">
        <f>IF(AND(F9=C32,B9=3),G8,IF(AND(F8=C32,F9&gt;C32,B8=3),G7,IF(AND(F7=C32,F8&gt;C32,B7=3),G6,IF(AND(F6=C32,F7&gt;C32,B6=3),G5,IF(AND(F5=C32,F6&gt;C32,B5=3),G4,0)))))</f>
        <v>0</v>
      </c>
      <c r="Q32" s="216">
        <f>IF(AND(F9=C32,B9=4,F9=F8),G8,IF(AND(F8=C32,F9&gt;C32,B8=4,F8=F7),G7,IF(AND(F7=C32,F8&gt;C32,B7=4,F7=F6),G6,IF(AND(F6=C32,F7&gt;C32,B6=4,F6=F5),G4,0))))</f>
        <v>0</v>
      </c>
      <c r="R32" s="251">
        <f t="shared" si="6"/>
        <v>10300</v>
      </c>
      <c r="S32" s="258">
        <f>IF(C32=L17,ROUND(K18*N32/K17,0.1),N32)</f>
        <v>10600</v>
      </c>
      <c r="T32" s="259">
        <f>IF(C32=L17,ROUND(K18*R32/K17,0.1),R32)</f>
        <v>10300</v>
      </c>
      <c r="U32" s="216">
        <f>IF(AND(C32&gt;=U14,C32&lt;U16),V14,V16)</f>
        <v>3</v>
      </c>
      <c r="V32" s="216">
        <f t="shared" si="7"/>
        <v>20</v>
      </c>
      <c r="W32" s="216">
        <v>29.96</v>
      </c>
      <c r="AH32" s="223">
        <v>15280</v>
      </c>
      <c r="AI32" s="223">
        <v>15700</v>
      </c>
      <c r="AJ32" s="223">
        <v>16150</v>
      </c>
      <c r="AL32" s="223">
        <v>15280</v>
      </c>
      <c r="AM32" s="223">
        <v>15700</v>
      </c>
      <c r="AN32" s="223">
        <v>16150</v>
      </c>
      <c r="AO32" s="207"/>
      <c r="AP32" s="223">
        <v>15280</v>
      </c>
      <c r="AQ32" s="223">
        <v>16150</v>
      </c>
      <c r="AR32" s="223">
        <v>16150</v>
      </c>
      <c r="AT32" s="208"/>
      <c r="AU32" s="209"/>
      <c r="AV32" s="209"/>
      <c r="AX32" s="207"/>
      <c r="AY32" s="207"/>
      <c r="AZ32" s="207"/>
      <c r="BB32" s="207"/>
      <c r="BC32" s="207"/>
      <c r="BD32" s="207"/>
    </row>
    <row r="33" spans="1:56" ht="15">
      <c r="A33" s="216">
        <f t="shared" si="2"/>
        <v>18</v>
      </c>
      <c r="B33" s="216">
        <f t="shared" si="0"/>
        <v>1</v>
      </c>
      <c r="C33" s="216">
        <v>14</v>
      </c>
      <c r="D33" s="216">
        <v>28</v>
      </c>
      <c r="F33" s="225" t="str">
        <f>IF(C33=L17,CONCATENATE(K16,"-",K17,"/",L16,"/",M16),"February-11")</f>
        <v>February-11</v>
      </c>
      <c r="G33" s="226">
        <f>IF(AND(F9&lt;=C33),H9,IF(AND(F8&lt;=C33,F9&gt;C33),H8,IF(AND(F7&lt;=C33,F8&gt;C33),H7,IF(AND(F6&lt;=C33,F7&gt;C33),H6,IF(AND(F5&lt;=C33,F6&gt;C33),H5,IF(AND(F4&lt;=C33,F5&gt;C33),H4,0))))))</f>
        <v>10600</v>
      </c>
      <c r="H33" s="226">
        <f>IF(AND(E9&lt;=C33),G9,IF(AND(E8&lt;=C33,E9&gt;C33),G8,IF(AND(E7&lt;=C33,E8&gt;C33),G7,IF(AND(E6&lt;=C33,E7&gt;C33),G6,IF(AND(E5&lt;=C33,E6&gt;C33),G5,IF(AND(E4&lt;=C33,E5&gt;C33),G4,0))))))</f>
        <v>10300</v>
      </c>
      <c r="I33" s="254">
        <f t="shared" si="3"/>
        <v>10600</v>
      </c>
      <c r="J33" s="255">
        <f t="shared" si="1"/>
        <v>10300</v>
      </c>
      <c r="K33" s="216">
        <f>IF(AND(F9=C33,B9=3),H8,IF(AND(F8=C33,F9&gt;C33,B8=3),H7,IF(AND(F7=C33,F8&gt;C33,B7=3),H6,IF(AND(F6=C33,F7&gt;C33,B6=3),H5,IF(AND(F5=C33,F6&gt;C33,B5=3),H4,0)))))</f>
        <v>0</v>
      </c>
      <c r="L33" s="216">
        <f>IF(AND(F9=C33,B9=4,F9=F8),H8,IF(AND(F8=C33,F9&gt;C33,B8=4,F8=F7),H7,IF(AND(F7=C33,F8&gt;C33,B7=4,F7=F6),H6,IF(AND(F6=C33,F7&gt;C33,B6=4,F6=F5),H4,0))))</f>
        <v>0</v>
      </c>
      <c r="M33" s="248">
        <f t="shared" si="4"/>
        <v>0</v>
      </c>
      <c r="N33" s="250">
        <f t="shared" si="5"/>
        <v>10600</v>
      </c>
      <c r="O33" s="216">
        <f>IF(AND(F9=C33,B9=2),G8,IF(AND(F8=C33,F9&gt;C33,B8=2),G7,IF(AND(F7=C33,F8&gt;C33,B7=2),G6,IF(AND(F6=C33,F7&gt;C33,B6=2),G5,IF(AND(F5=C33,F6&gt;C33,B5=2),G4,0)))))</f>
        <v>0</v>
      </c>
      <c r="P33" s="216">
        <f>IF(AND(F9=C33,B9=3),G8,IF(AND(F8=C33,F9&gt;C33,B8=3),G7,IF(AND(F7=C33,F8&gt;C33,B7=3),G6,IF(AND(F6=C33,F7&gt;C33,B6=3),G5,IF(AND(F5=C33,F6&gt;C33,B5=3),G4,0)))))</f>
        <v>0</v>
      </c>
      <c r="Q33" s="216">
        <f>IF(AND(F9=C33,B9=4,F9=F8),G8,IF(AND(F8=C33,F9&gt;C33,B8=4,F8=F7),G7,IF(AND(F7=C33,F8&gt;C33,B7=4,F7=F6),G6,IF(AND(F6=C33,F7&gt;C33,B6=4,F6=F5),G4,0))))</f>
        <v>0</v>
      </c>
      <c r="R33" s="251">
        <f t="shared" si="6"/>
        <v>10300</v>
      </c>
      <c r="S33" s="258">
        <f>IF(C33=L17,ROUND(K18*N33/K17,0.1),N33)</f>
        <v>10600</v>
      </c>
      <c r="T33" s="259">
        <f>IF(C33=L17,ROUND(K18*R33/K17,0.1),R33)</f>
        <v>10300</v>
      </c>
      <c r="U33" s="216">
        <f>IF(AND(C33&gt;=U14,C33&lt;U16),V14,V16)</f>
        <v>3</v>
      </c>
      <c r="V33" s="216">
        <f t="shared" si="7"/>
        <v>20</v>
      </c>
      <c r="W33" s="216">
        <v>29.96</v>
      </c>
      <c r="AH33" s="223">
        <v>15700</v>
      </c>
      <c r="AI33" s="223">
        <v>16150</v>
      </c>
      <c r="AJ33" s="223">
        <v>16600</v>
      </c>
      <c r="AL33" s="223">
        <v>15700</v>
      </c>
      <c r="AM33" s="223">
        <v>16150</v>
      </c>
      <c r="AN33" s="223">
        <v>16600</v>
      </c>
      <c r="AO33" s="207"/>
      <c r="AP33" s="223">
        <v>15700</v>
      </c>
      <c r="AQ33" s="223">
        <v>16600</v>
      </c>
      <c r="AR33" s="223">
        <v>16600</v>
      </c>
      <c r="AT33" s="208"/>
      <c r="AU33" s="209"/>
      <c r="AV33" s="209"/>
      <c r="AX33" s="207"/>
      <c r="AY33" s="207"/>
      <c r="AZ33" s="207"/>
      <c r="BB33" s="207"/>
      <c r="BC33" s="207"/>
      <c r="BD33" s="207"/>
    </row>
    <row r="34" spans="1:56" ht="15">
      <c r="A34" s="216">
        <f t="shared" si="2"/>
        <v>18</v>
      </c>
      <c r="B34" s="216">
        <f t="shared" si="0"/>
        <v>1</v>
      </c>
      <c r="C34" s="216">
        <v>15</v>
      </c>
      <c r="D34" s="216">
        <v>31</v>
      </c>
      <c r="F34" s="225" t="str">
        <f>IF(C34=L17,CONCATENATE(K16,"-",K17,"/",L16,"/",M16),"March-11")</f>
        <v>March-11</v>
      </c>
      <c r="G34" s="226">
        <f>IF(AND(F9&lt;=C34),H9,IF(AND(F8&lt;=C34,F9&gt;C34),H8,IF(AND(F7&lt;=C34,F8&gt;C34),H7,IF(AND(F6&lt;=C34,F7&gt;C34),H6,IF(AND(F5&lt;=C34,F6&gt;C34),H5,IF(AND(F4&lt;=C34,F5&gt;C34),H4,0))))))</f>
        <v>10600</v>
      </c>
      <c r="H34" s="226">
        <f>IF(AND(E9&lt;=C34),G9,IF(AND(E8&lt;=C34,E9&gt;C34),G8,IF(AND(E7&lt;=C34,E8&gt;C34),G7,IF(AND(E6&lt;=C34,E7&gt;C34),G6,IF(AND(E5&lt;=C34,E6&gt;C34),G5,IF(AND(E4&lt;=C34,E5&gt;C34),G4,0))))))</f>
        <v>10300</v>
      </c>
      <c r="I34" s="254">
        <f t="shared" si="3"/>
        <v>10600</v>
      </c>
      <c r="J34" s="255">
        <f t="shared" si="1"/>
        <v>10300</v>
      </c>
      <c r="K34" s="216">
        <f>IF(AND(F9=C34,B9=3),H8,IF(AND(F8=C34,F9&gt;C34,B8=3),H7,IF(AND(F7=C34,F8&gt;C34,B7=3),H6,IF(AND(F6=C34,F7&gt;C34,B6=3),H5,IF(AND(F5=C34,F6&gt;C34,B5=3),H4,0)))))</f>
        <v>0</v>
      </c>
      <c r="L34" s="216">
        <f>IF(AND(F9=C34,B9=4,F9=F8),H8,IF(AND(F8=C34,F9&gt;C34,B8=4,F8=F7),H7,IF(AND(F7=C34,F8&gt;C34,B7=4,F7=F6),H6,IF(AND(F6=C34,F7&gt;C34,B6=4,F6=F5),H4,0))))</f>
        <v>0</v>
      </c>
      <c r="M34" s="248">
        <f t="shared" si="4"/>
        <v>0</v>
      </c>
      <c r="N34" s="250">
        <f t="shared" si="5"/>
        <v>10600</v>
      </c>
      <c r="O34" s="216">
        <f>IF(AND(F9=C34,B9=2),G8,IF(AND(F8=C34,F9&gt;C34,B8=2),G7,IF(AND(F7=C34,F8&gt;C34,B7=2),G6,IF(AND(F6=C34,F7&gt;C34,B6=2),G5,IF(AND(F5=C34,F6&gt;C34,B5=2),G4,0)))))</f>
        <v>0</v>
      </c>
      <c r="P34" s="216">
        <f>IF(AND(F9=C34,B9=3),G8,IF(AND(F8=C34,F9&gt;C34,B8=3),G7,IF(AND(F7=C34,F8&gt;C34,B7=3),G6,IF(AND(F6=C34,F7&gt;C34,B6=3),G5,IF(AND(F5=C34,F6&gt;C34,B5=3),G4,0)))))</f>
        <v>0</v>
      </c>
      <c r="Q34" s="216">
        <f>IF(AND(F9=C34,B9=4,F9=F8),G8,IF(AND(F8=C34,F9&gt;C34,B8=4,F8=F7),G7,IF(AND(F7=C34,F8&gt;C34,B7=4,F7=F6),G6,IF(AND(F6=C34,F7&gt;C34,B6=4,F6=F5),G4,0))))</f>
        <v>0</v>
      </c>
      <c r="R34" s="251">
        <f t="shared" si="6"/>
        <v>10300</v>
      </c>
      <c r="S34" s="258">
        <f>IF(C34=L17,ROUND(K18*N34/K17,0.1),N34)</f>
        <v>10600</v>
      </c>
      <c r="T34" s="259">
        <f>IF(C34=L17,ROUND(K18*R34/K17,0.1),R34)</f>
        <v>10300</v>
      </c>
      <c r="U34" s="216">
        <f>IF(AND(C34&gt;=U14,C34&lt;U16),V14,V16)</f>
        <v>3</v>
      </c>
      <c r="V34" s="216">
        <f>IF(U34=1,10,IF(U34=2,12.5,IF(U34=3,20,IF(U34=4,30))))</f>
        <v>20</v>
      </c>
      <c r="W34" s="216">
        <v>29.96</v>
      </c>
      <c r="AH34" s="223">
        <v>16150</v>
      </c>
      <c r="AI34" s="223">
        <v>16600</v>
      </c>
      <c r="AJ34" s="223">
        <v>17050</v>
      </c>
      <c r="AL34" s="223">
        <v>16150</v>
      </c>
      <c r="AM34" s="223">
        <v>16600</v>
      </c>
      <c r="AN34" s="223">
        <v>17050</v>
      </c>
      <c r="AO34" s="207"/>
      <c r="AP34" s="223">
        <v>16150</v>
      </c>
      <c r="AQ34" s="223">
        <v>17050</v>
      </c>
      <c r="AR34" s="223">
        <v>17050</v>
      </c>
      <c r="AT34" s="208"/>
      <c r="AU34" s="209"/>
      <c r="AV34" s="209"/>
      <c r="AX34" s="207"/>
      <c r="AY34" s="207"/>
      <c r="AZ34" s="207"/>
      <c r="BB34" s="207"/>
      <c r="BC34" s="207"/>
      <c r="BD34" s="207"/>
    </row>
    <row r="35" spans="1:56" ht="15">
      <c r="A35" s="216">
        <f t="shared" si="2"/>
        <v>18</v>
      </c>
      <c r="B35" s="216">
        <f t="shared" si="0"/>
        <v>1</v>
      </c>
      <c r="C35" s="216">
        <v>16</v>
      </c>
      <c r="D35" s="216">
        <v>30</v>
      </c>
      <c r="F35" s="225" t="str">
        <f>IF(C35=L17,CONCATENATE(K16,"-",K17,"/",L16,"/",M16),"April-11")</f>
        <v>April-11</v>
      </c>
      <c r="G35" s="226">
        <f>IF(AND(F9&lt;=C35),H9,IF(AND(F8&lt;=C35,F9&gt;C35),H8,IF(AND(F7&lt;=C35,F8&gt;C35),H7,IF(AND(F6&lt;=C35,F7&gt;C35),H6,IF(AND(F5&lt;=C35,F6&gt;C35),H5,IF(AND(F4&lt;=C35,F5&gt;C35),H4,0))))))</f>
        <v>10600</v>
      </c>
      <c r="H35" s="226">
        <f>IF(AND(E9&lt;=C35),G9,IF(AND(E8&lt;=C35,E9&gt;C35),G8,IF(AND(E7&lt;=C35,E8&gt;C35),G7,IF(AND(E6&lt;=C35,E7&gt;C35),G6,IF(AND(E5&lt;=C35,E6&gt;C35),G5,IF(AND(E4&lt;=C35,E5&gt;C35),G4,0))))))</f>
        <v>10300</v>
      </c>
      <c r="I35" s="254">
        <f t="shared" si="3"/>
        <v>10600</v>
      </c>
      <c r="J35" s="255">
        <f t="shared" si="1"/>
        <v>10300</v>
      </c>
      <c r="K35" s="216">
        <f>IF(AND(F9=C35,B9=3),H8,IF(AND(F8=C35,F9&gt;C35,B8=3),H7,IF(AND(F7=C35,F8&gt;C35,B7=3),H6,IF(AND(F6=C35,F7&gt;C35,B6=3),H5,IF(AND(F5=C35,F6&gt;C35,B5=3),H4,0)))))</f>
        <v>0</v>
      </c>
      <c r="L35" s="216">
        <f>IF(AND(F9=C35,B9=4,F9=F8),H8,IF(AND(F8=C35,F9&gt;C35,B8=4,F8=F7),H7,IF(AND(F7=C35,F8&gt;C35,B7=4,F7=F6),H6,IF(AND(F6=C35,F7&gt;C35,B6=4,F6=F5),H4,0))))</f>
        <v>0</v>
      </c>
      <c r="M35" s="248">
        <f t="shared" si="4"/>
        <v>0</v>
      </c>
      <c r="N35" s="250">
        <f t="shared" si="5"/>
        <v>10600</v>
      </c>
      <c r="O35" s="216">
        <f>IF(AND(F9=C35,B9=2),G8,IF(AND(F8=C35,F9&gt;C35,B8=2),G7,IF(AND(F7=C35,F8&gt;C35,B7=2),G6,IF(AND(F6=C35,F7&gt;C35,B6=2),G5,IF(AND(F5=C35,F6&gt;C35,B5=2),G4,0)))))</f>
        <v>0</v>
      </c>
      <c r="P35" s="216">
        <f>IF(AND(F9=C35,B9=3),G8,IF(AND(F8=C35,F9&gt;C35,B8=3),G7,IF(AND(F7=C35,F8&gt;C35,B7=3),G6,IF(AND(F6=C35,F7&gt;C35,B6=3),G5,IF(AND(F5=C35,F6&gt;C35,B5=3),G4,0)))))</f>
        <v>0</v>
      </c>
      <c r="Q35" s="216">
        <f>IF(AND(F9=C35,B9=4,F9=F8),G8,IF(AND(F8=C35,F9&gt;C35,B8=4,F8=F7),G7,IF(AND(F7=C35,F8&gt;C35,B7=4,F7=F6),G6,IF(AND(F6=C35,F7&gt;C35,B6=4,F6=F5),G4,0))))</f>
        <v>0</v>
      </c>
      <c r="R35" s="251">
        <f t="shared" si="6"/>
        <v>10300</v>
      </c>
      <c r="S35" s="258">
        <f>IF(C35=L17,ROUND(K18*N35/K17,0.1),N35)</f>
        <v>10600</v>
      </c>
      <c r="T35" s="259">
        <f>IF(C35=L17,ROUND(K18*R35/K17,0.1),R35)</f>
        <v>10300</v>
      </c>
      <c r="U35" s="216">
        <f>IF(AND(C35&gt;=U14,C35&lt;U16),V14,V16)</f>
        <v>3</v>
      </c>
      <c r="V35" s="216">
        <f aca="true" t="shared" si="8" ref="V35:V44">IF(U35=1,12,IF(U35=2,14.5,IF(U35=3,20,IF(U35=4,30))))</f>
        <v>20</v>
      </c>
      <c r="W35" s="216">
        <v>29.96</v>
      </c>
      <c r="AH35" s="223">
        <v>16600</v>
      </c>
      <c r="AI35" s="223">
        <v>17050</v>
      </c>
      <c r="AJ35" s="223">
        <v>17540</v>
      </c>
      <c r="AL35" s="223">
        <v>16600</v>
      </c>
      <c r="AM35" s="223">
        <v>17050</v>
      </c>
      <c r="AN35" s="223">
        <v>17540</v>
      </c>
      <c r="AO35" s="207"/>
      <c r="AP35" s="223">
        <v>16600</v>
      </c>
      <c r="AQ35" s="223">
        <v>17540</v>
      </c>
      <c r="AR35" s="223">
        <v>17540</v>
      </c>
      <c r="AT35" s="208"/>
      <c r="AU35" s="209"/>
      <c r="AV35" s="209"/>
      <c r="AX35" s="207"/>
      <c r="AY35" s="207"/>
      <c r="AZ35" s="207"/>
      <c r="BB35" s="207"/>
      <c r="BC35" s="207"/>
      <c r="BD35" s="207"/>
    </row>
    <row r="36" spans="1:56" ht="15">
      <c r="A36" s="216">
        <f t="shared" si="2"/>
        <v>18</v>
      </c>
      <c r="B36" s="216">
        <f t="shared" si="0"/>
        <v>1</v>
      </c>
      <c r="C36" s="216">
        <v>17</v>
      </c>
      <c r="D36" s="216">
        <v>31</v>
      </c>
      <c r="F36" s="225" t="str">
        <f>IF(C36=L17,CONCATENATE(K16,"-",K17,"/",L16,"/",M16),"May-11")</f>
        <v>May-11</v>
      </c>
      <c r="G36" s="226">
        <f>IF(AND(F9&lt;=C36),H9,IF(AND(F8&lt;=C36,F9&gt;C36),H8,IF(AND(F7&lt;=C36,F8&gt;C36),H7,IF(AND(F6&lt;=C36,F7&gt;C36),H6,IF(AND(F5&lt;=C36,F6&gt;C36),H5,IF(AND(F4&lt;=C36,F5&gt;C36),H4,0))))))</f>
        <v>10600</v>
      </c>
      <c r="H36" s="226">
        <f>IF(AND(E9&lt;=C36),G9,IF(AND(E8&lt;=C36,E9&gt;C36),G8,IF(AND(E7&lt;=C36,E8&gt;C36),G7,IF(AND(E6&lt;=C36,E7&gt;C36),G6,IF(AND(E5&lt;=C36,E6&gt;C36),G5,IF(AND(E4&lt;=C36,E5&gt;C36),G4,0))))))</f>
        <v>10300</v>
      </c>
      <c r="I36" s="254">
        <f t="shared" si="3"/>
        <v>10600</v>
      </c>
      <c r="J36" s="255">
        <f t="shared" si="1"/>
        <v>10300</v>
      </c>
      <c r="K36" s="216">
        <f>IF(AND(F9=C36,B9=3),H8,IF(AND(F8=C36,F9&gt;C36,B8=3),H7,IF(AND(F7=C36,F8&gt;C36,B7=3),H6,IF(AND(F6=C36,F7&gt;C36,B6=3),H5,IF(AND(F5=C36,F6&gt;C36,B5=3),H4,0)))))</f>
        <v>0</v>
      </c>
      <c r="L36" s="216">
        <f>IF(AND(F9=C36,B9=4,F9=F8),H8,IF(AND(F8=C36,F9&gt;C36,B8=4,F8=F7),H7,IF(AND(F7=C36,F8&gt;C36,B7=4,F7=F6),H6,IF(AND(F6=C36,F7&gt;C36,B6=4,F6=F5),H4,0))))</f>
        <v>0</v>
      </c>
      <c r="M36" s="248">
        <f t="shared" si="4"/>
        <v>0</v>
      </c>
      <c r="N36" s="250">
        <f t="shared" si="5"/>
        <v>10600</v>
      </c>
      <c r="O36" s="216">
        <f>IF(AND(F9=C36,B9=2),G8,IF(AND(F8=C36,F9&gt;C36,B8=2),G7,IF(AND(F7=C36,F8&gt;C36,B7=2),G6,IF(AND(F6=C36,F7&gt;C36,B6=2),G5,IF(AND(F5=C36,F6&gt;C36,B5=2),G4,0)))))</f>
        <v>0</v>
      </c>
      <c r="P36" s="216">
        <f>IF(AND(F9=C36,B9=3),G8,IF(AND(F8=C36,F9&gt;C36,B8=3),G7,IF(AND(F7=C36,F8&gt;C36,B7=3),G6,IF(AND(F6=C36,F7&gt;C36,B6=3),G5,IF(AND(F5=C36,F6&gt;C36,B5=3),G4,0)))))</f>
        <v>0</v>
      </c>
      <c r="Q36" s="216">
        <f>IF(AND(F9=C36,B9=4,F9=F8),G8,IF(AND(F8=C36,F9&gt;C36,B8=4,F8=F7),G7,IF(AND(F7=C36,F8&gt;C36,B7=4,F7=F6),G6,IF(AND(F6=C36,F7&gt;C36,B6=4,F6=F5),G4,0))))</f>
        <v>0</v>
      </c>
      <c r="R36" s="251">
        <f t="shared" si="6"/>
        <v>10300</v>
      </c>
      <c r="S36" s="258">
        <f>IF(C36=L17,ROUND(K18*N36/K17,0.1),N36)</f>
        <v>10600</v>
      </c>
      <c r="T36" s="259">
        <f>IF(C36=L17,ROUND(K18*R36/K17,0.1),R36)</f>
        <v>10300</v>
      </c>
      <c r="U36" s="216">
        <f>IF(AND(C36&gt;=U14,C36&lt;U16),V14,V16)</f>
        <v>3</v>
      </c>
      <c r="V36" s="216">
        <f t="shared" si="8"/>
        <v>20</v>
      </c>
      <c r="W36" s="216">
        <v>29.96</v>
      </c>
      <c r="AH36" s="223">
        <v>17050</v>
      </c>
      <c r="AI36" s="223">
        <v>17540</v>
      </c>
      <c r="AJ36" s="223">
        <v>18030</v>
      </c>
      <c r="AL36" s="223">
        <v>17050</v>
      </c>
      <c r="AM36" s="223">
        <v>17540</v>
      </c>
      <c r="AN36" s="223">
        <v>18030</v>
      </c>
      <c r="AO36" s="207"/>
      <c r="AP36" s="223">
        <v>17050</v>
      </c>
      <c r="AQ36" s="223">
        <v>18030</v>
      </c>
      <c r="AR36" s="223">
        <v>18030</v>
      </c>
      <c r="AT36" s="208"/>
      <c r="AU36" s="209"/>
      <c r="AV36" s="209"/>
      <c r="AX36" s="207"/>
      <c r="AY36" s="207"/>
      <c r="AZ36" s="207"/>
      <c r="BB36" s="207"/>
      <c r="BC36" s="207"/>
      <c r="BD36" s="207"/>
    </row>
    <row r="37" spans="1:56" ht="15">
      <c r="A37" s="216">
        <f t="shared" si="2"/>
        <v>18</v>
      </c>
      <c r="B37" s="216">
        <f t="shared" si="0"/>
        <v>1</v>
      </c>
      <c r="C37" s="216">
        <v>18</v>
      </c>
      <c r="D37" s="216">
        <v>30</v>
      </c>
      <c r="F37" s="225" t="str">
        <f>IF(C37=L17,CONCATENATE(K16,"-",K17,"/",L16,"/",M16),"June-11")</f>
        <v>June-11</v>
      </c>
      <c r="G37" s="226">
        <f>IF(AND(F9&lt;=C37),H9,IF(AND(F8&lt;=C37,F9&gt;C37),H8,IF(AND(F7&lt;=C37,F8&gt;C37),H7,IF(AND(F6&lt;=C37,F7&gt;C37),H6,IF(AND(F5&lt;=C37,F6&gt;C37),H5,IF(AND(F4&lt;=C37,F5&gt;C37),H4,0))))))</f>
        <v>10600</v>
      </c>
      <c r="H37" s="226">
        <f>IF(AND(E9&lt;=C37),G9,IF(AND(E8&lt;=C37,E9&gt;C37),G8,IF(AND(E7&lt;=C37,E8&gt;C37),G7,IF(AND(E6&lt;=C37,E7&gt;C37),G6,IF(AND(E5&lt;=C37,E6&gt;C37),G5,IF(AND(E4&lt;=C37,E5&gt;C37),G4,0))))))</f>
        <v>10300</v>
      </c>
      <c r="I37" s="254">
        <f t="shared" si="3"/>
        <v>10600</v>
      </c>
      <c r="J37" s="255">
        <f t="shared" si="1"/>
        <v>10300</v>
      </c>
      <c r="K37" s="216">
        <f>IF(AND(F9=C37,B9=3),H8,IF(AND(F8=C37,F9&gt;C37,B8=3),H7,IF(AND(F7=C37,F8&gt;C37,B7=3),H6,IF(AND(F6=C37,F7&gt;C37,B6=3),H5,IF(AND(F5=C37,F6&gt;C37,B5=3),H4,0)))))</f>
        <v>0</v>
      </c>
      <c r="L37" s="216">
        <f>IF(AND(F9=C37,B9=4,F9=F8),H8,IF(AND(F8=C37,F9&gt;C37,B8=4,F8=F7),H7,IF(AND(F7=C37,F8&gt;C37,B7=4,F7=F6),H6,IF(AND(F6=C37,F7&gt;C37,B6=4,F6=F5),H4,0))))</f>
        <v>0</v>
      </c>
      <c r="M37" s="248">
        <f t="shared" si="4"/>
        <v>0</v>
      </c>
      <c r="N37" s="250">
        <f t="shared" si="5"/>
        <v>10600</v>
      </c>
      <c r="O37" s="216">
        <f>IF(AND(F9=C37,B9=2),G8,IF(AND(F8=C37,F9&gt;C37,B8=2),G7,IF(AND(F7=C37,F8&gt;C37,B7=2),G6,IF(AND(F6=C37,F7&gt;C37,B6=2),G5,IF(AND(F5=C37,F6&gt;C37,B5=2),G4,0)))))</f>
        <v>0</v>
      </c>
      <c r="P37" s="216">
        <f>IF(AND(F9=C37,B9=3),G8,IF(AND(F8=C37,F9&gt;C37,B8=3),G7,IF(AND(F7=C37,F8&gt;C37,B7=3),G6,IF(AND(F6=C37,F7&gt;C37,B6=3),G5,IF(AND(F5=C37,F6&gt;C37,B5=3),G4,0)))))</f>
        <v>0</v>
      </c>
      <c r="Q37" s="216">
        <f>IF(AND(F9=C37,B9=4,F9=F8),G8,IF(AND(F8=C37,F9&gt;C37,B8=4,F8=F7),G7,IF(AND(F7=C37,F8&gt;C37,B7=4,F7=F6),G6,IF(AND(F6=C37,F7&gt;C37,B6=4,F6=F5),G4,0))))</f>
        <v>0</v>
      </c>
      <c r="R37" s="251">
        <f t="shared" si="6"/>
        <v>10300</v>
      </c>
      <c r="S37" s="258">
        <f>IF(C37&gt;A20,0,IF(C37=L17,ROUND(K18*N37/K17,0.1),N37))</f>
        <v>10600</v>
      </c>
      <c r="T37" s="259">
        <f>IF(C37&gt;A20,0,IF(C37=L17,ROUND(K18*R37/K17,0.1),R37))</f>
        <v>10300</v>
      </c>
      <c r="U37" s="216">
        <f>IF(AND(C37&gt;=U14,C37&lt;U16),V14,V16)</f>
        <v>3</v>
      </c>
      <c r="V37" s="216">
        <f t="shared" si="8"/>
        <v>20</v>
      </c>
      <c r="W37" s="216">
        <v>29.96</v>
      </c>
      <c r="AH37" s="223">
        <v>17540</v>
      </c>
      <c r="AI37" s="223">
        <v>18030</v>
      </c>
      <c r="AJ37" s="223">
        <v>18520</v>
      </c>
      <c r="AL37" s="223">
        <v>17540</v>
      </c>
      <c r="AM37" s="223">
        <v>18030</v>
      </c>
      <c r="AN37" s="223">
        <v>18520</v>
      </c>
      <c r="AO37" s="207"/>
      <c r="AP37" s="223">
        <v>17540</v>
      </c>
      <c r="AQ37" s="223">
        <v>18520</v>
      </c>
      <c r="AR37" s="223">
        <v>18520</v>
      </c>
      <c r="AT37" s="208"/>
      <c r="AU37" s="209"/>
      <c r="AV37" s="209"/>
      <c r="AX37" s="207"/>
      <c r="AY37" s="207"/>
      <c r="AZ37" s="207"/>
      <c r="BB37" s="207"/>
      <c r="BC37" s="207"/>
      <c r="BD37" s="207"/>
    </row>
    <row r="38" spans="1:56" ht="15">
      <c r="A38" s="216">
        <f t="shared" si="2"/>
        <v>18</v>
      </c>
      <c r="B38" s="216">
        <f t="shared" si="0"/>
        <v>1</v>
      </c>
      <c r="C38" s="216">
        <v>19</v>
      </c>
      <c r="D38" s="216">
        <v>31</v>
      </c>
      <c r="F38" s="225" t="str">
        <f>IF(C38=L17,CONCATENATE(K16,"-",K17,"/",L16,"/",M16),"July-11")</f>
        <v>July-11</v>
      </c>
      <c r="G38" s="226">
        <f>IF(AND(F9&lt;=C38),H9,IF(AND(F8&lt;=C38,F9&gt;C38),H8,IF(AND(F7&lt;=C38,F8&gt;C38),H7,IF(AND(F6&lt;=C38,F7&gt;C38),H6,IF(AND(F5&lt;=C38,F6&gt;C38),H5,IF(AND(F4&lt;=C38,F5&gt;C38),H4,0))))))</f>
        <v>10600</v>
      </c>
      <c r="H38" s="226">
        <f>IF(AND(E9&lt;=C38),G9,IF(AND(E8&lt;=C38,E9&gt;C38),G8,IF(AND(E7&lt;=C38,E8&gt;C38),G7,IF(AND(E6&lt;=C38,E7&gt;C38),G6,IF(AND(E5&lt;=C38,E6&gt;C38),G5,IF(AND(E4&lt;=C38,E5&gt;C38),G4,0))))))</f>
        <v>10300</v>
      </c>
      <c r="I38" s="254">
        <f t="shared" si="3"/>
        <v>0</v>
      </c>
      <c r="J38" s="255">
        <f t="shared" si="1"/>
        <v>0</v>
      </c>
      <c r="K38" s="216">
        <f>IF(AND(F9=C38,B9=3),H8,IF(AND(F8=C38,F9&gt;C38,B8=3),H7,IF(AND(F7=C38,F8&gt;C38,B7=3),H6,IF(AND(F6=C38,F7&gt;C38,B6=3),H5,IF(AND(F5=C38,F6&gt;C38,B5=3),H4,0)))))</f>
        <v>0</v>
      </c>
      <c r="L38" s="216">
        <f>IF(AND(F9=C38,B9=4,F9=F8),H8,IF(AND(F8=C38,F9&gt;C38,B8=4,F8=F7),H7,IF(AND(F7=C38,F8&gt;C38,B7=4,F7=F6),H6,IF(AND(F6=C38,F7&gt;C38,B6=4,F6=F5),H4,0))))</f>
        <v>0</v>
      </c>
      <c r="M38" s="248">
        <f t="shared" si="4"/>
        <v>0</v>
      </c>
      <c r="N38" s="250">
        <f t="shared" si="5"/>
        <v>0</v>
      </c>
      <c r="O38" s="216">
        <f>IF(AND(F9=C38,B9=2),G8,IF(AND(F8=C38,F9&gt;C38,B8=2),G7,IF(AND(F7=C38,F8&gt;C38,B7=2),G6,IF(AND(F6=C38,F7&gt;C38,B6=2),G5,IF(AND(F5=C38,F6&gt;C38,B5=2),G4,0)))))</f>
        <v>0</v>
      </c>
      <c r="P38" s="216">
        <f>IF(AND(F9=C38,B9=3),G8,IF(AND(F8=C38,F9&gt;C38,B8=3),G7,IF(AND(F7=C38,F8&gt;C38,B7=3),G6,IF(AND(F6=C38,F7&gt;C38,B6=3),G5,IF(AND(F5=C38,F6&gt;C38,B5=3),G4,0)))))</f>
        <v>0</v>
      </c>
      <c r="Q38" s="216">
        <f>IF(AND(F9=C38,B9=4,F9=F8),G8,IF(AND(F8=C38,F9&gt;C38,B8=4,F8=F7),G7,IF(AND(F7=C38,F8&gt;C38,B7=4,F7=F6),G6,IF(AND(F6=C38,F7&gt;C38,B6=4,F6=F5),G4,0))))</f>
        <v>0</v>
      </c>
      <c r="R38" s="251">
        <f t="shared" si="6"/>
        <v>0</v>
      </c>
      <c r="S38" s="258">
        <f>IF(C38&gt;A20,0,IF(C38=L17,ROUND(K18*N38/K17,0.1),N38))</f>
        <v>0</v>
      </c>
      <c r="T38" s="259">
        <f>IF(C38&gt;A20,0,IF(C38=L17,ROUND(K18*R38/K17,0.1),R38))</f>
        <v>0</v>
      </c>
      <c r="U38" s="216">
        <f>IF(AND(C38&gt;=U14,C38&lt;U16),V14,V16)</f>
        <v>3</v>
      </c>
      <c r="V38" s="216">
        <f t="shared" si="8"/>
        <v>20</v>
      </c>
      <c r="W38" s="216">
        <v>29.96</v>
      </c>
      <c r="AH38" s="223">
        <v>18030</v>
      </c>
      <c r="AI38" s="223">
        <v>18520</v>
      </c>
      <c r="AJ38" s="223">
        <v>19050</v>
      </c>
      <c r="AL38" s="223">
        <v>18030</v>
      </c>
      <c r="AM38" s="223">
        <v>18520</v>
      </c>
      <c r="AN38" s="223">
        <v>19050</v>
      </c>
      <c r="AO38" s="207"/>
      <c r="AP38" s="223">
        <v>18030</v>
      </c>
      <c r="AQ38" s="223">
        <v>19050</v>
      </c>
      <c r="AR38" s="223">
        <v>19050</v>
      </c>
      <c r="AT38" s="208"/>
      <c r="AU38" s="209"/>
      <c r="AV38" s="209"/>
      <c r="AX38" s="207"/>
      <c r="AY38" s="207"/>
      <c r="AZ38" s="207"/>
      <c r="BB38" s="207"/>
      <c r="BC38" s="207"/>
      <c r="BD38" s="207"/>
    </row>
    <row r="39" spans="1:56" ht="15">
      <c r="A39" s="216">
        <f t="shared" si="2"/>
        <v>18</v>
      </c>
      <c r="B39" s="216">
        <f t="shared" si="0"/>
        <v>1</v>
      </c>
      <c r="C39" s="216">
        <v>20</v>
      </c>
      <c r="D39" s="216">
        <v>31</v>
      </c>
      <c r="F39" s="225" t="str">
        <f>IF(C39=L17,CONCATENATE(K16,"-",K17,"/",L16,"/",M16),"August-11")</f>
        <v>August-11</v>
      </c>
      <c r="G39" s="226">
        <f>IF(AND(F9&lt;=C39),H9,IF(AND(F8&lt;=C39,F9&gt;C39),H8,IF(AND(F7&lt;=C39,F8&gt;C39),H7,IF(AND(F6&lt;=C39,F7&gt;C39),H6,IF(AND(F5&lt;=C39,F6&gt;C39),H5,IF(AND(F4&lt;=C39,F5&gt;C39),H4,0))))))</f>
        <v>10600</v>
      </c>
      <c r="H39" s="226">
        <f>IF(AND(E9&lt;=C39),G9,IF(AND(E8&lt;=C39,E9&gt;C39),G8,IF(AND(E7&lt;=C39,E8&gt;C39),G7,IF(AND(E6&lt;=C39,E7&gt;C39),G6,IF(AND(E5&lt;=C39,E6&gt;C39),G5,IF(AND(E4&lt;=C39,E5&gt;C39),G4,0))))))</f>
        <v>10300</v>
      </c>
      <c r="I39" s="254">
        <f t="shared" si="3"/>
        <v>0</v>
      </c>
      <c r="J39" s="255">
        <f t="shared" si="1"/>
        <v>0</v>
      </c>
      <c r="K39" s="216">
        <f>IF(AND(F9=C39,B9=3),H8,IF(AND(F8=C39,F9&gt;C39,B8=3),H7,IF(AND(F7=C39,F8&gt;C39,B7=3),H6,IF(AND(F6=C39,F7&gt;C39,B6=3),H5,IF(AND(F5=C39,F6&gt;C39,B5=3),H4,0)))))</f>
        <v>0</v>
      </c>
      <c r="L39" s="216">
        <f>IF(AND(F9=C39,B9=4,F9=F8),H8,IF(AND(F8=C39,F9&gt;C39,B8=4,F8=F7),H7,IF(AND(F7=C39,F8&gt;C39,B7=4,F7=F6),H6,IF(AND(F6=C39,F7&gt;C39,B6=4,F6=F5),H4,0))))</f>
        <v>0</v>
      </c>
      <c r="M39" s="248">
        <f t="shared" si="4"/>
        <v>0</v>
      </c>
      <c r="N39" s="250">
        <f t="shared" si="5"/>
        <v>0</v>
      </c>
      <c r="O39" s="216">
        <f>IF(AND(F9=C39,B9=2),G8,IF(AND(F8=C39,F9&gt;C39,B8=2),G7,IF(AND(F7=C39,F8&gt;C39,B7=2),G6,IF(AND(F6=C39,F7&gt;C39,B6=2),G5,IF(AND(F5=C39,F6&gt;C39,B5=2),G4,0)))))</f>
        <v>0</v>
      </c>
      <c r="P39" s="216">
        <f>IF(AND(F9=C39,B9=3),G8,IF(AND(F8=C39,F9&gt;C39,B8=3),G7,IF(AND(F7=C39,F8&gt;C39,B7=3),G6,IF(AND(F6=C39,F7&gt;C39,B6=3),G5,IF(AND(F5=C39,F6&gt;C39,B5=3),G4,0)))))</f>
        <v>0</v>
      </c>
      <c r="Q39" s="216">
        <f>IF(AND(F9=C39,B9=4,F9=F8),G8,IF(AND(F8=C39,F9&gt;C39,B8=4,F8=F7),G7,IF(AND(F7=C39,F8&gt;C39,B7=4,F7=F6),G6,IF(AND(F6=C39,F7&gt;C39,B6=4,F6=F5),G4,0))))</f>
        <v>0</v>
      </c>
      <c r="R39" s="251">
        <f t="shared" si="6"/>
        <v>0</v>
      </c>
      <c r="S39" s="258">
        <f>IF(C39&gt;A20,0,IF(C39=L17,ROUND(K18*N39/K17,0.1),N39))</f>
        <v>0</v>
      </c>
      <c r="T39" s="259">
        <f>IF(C39&gt;A20,0,IF(C39=L17,ROUND(K18*R39/K17,0.1),R39))</f>
        <v>0</v>
      </c>
      <c r="U39" s="216">
        <f>IF(AND(C39&gt;=U14,C39&lt;U16),V14,V16)</f>
        <v>3</v>
      </c>
      <c r="V39" s="216">
        <f t="shared" si="8"/>
        <v>20</v>
      </c>
      <c r="W39" s="216">
        <v>29.96</v>
      </c>
      <c r="AH39" s="223">
        <v>18520</v>
      </c>
      <c r="AI39" s="223">
        <v>19050</v>
      </c>
      <c r="AJ39" s="223">
        <v>19580</v>
      </c>
      <c r="AL39" s="223">
        <v>18520</v>
      </c>
      <c r="AM39" s="223">
        <v>19050</v>
      </c>
      <c r="AN39" s="223">
        <v>19580</v>
      </c>
      <c r="AO39" s="207"/>
      <c r="AP39" s="223">
        <v>18520</v>
      </c>
      <c r="AQ39" s="223">
        <v>19580</v>
      </c>
      <c r="AR39" s="223">
        <v>19580</v>
      </c>
      <c r="AT39" s="208"/>
      <c r="AU39" s="209"/>
      <c r="AV39" s="209"/>
      <c r="AX39" s="207"/>
      <c r="AY39" s="207"/>
      <c r="AZ39" s="207"/>
      <c r="BB39" s="207"/>
      <c r="BC39" s="207"/>
      <c r="BD39" s="207"/>
    </row>
    <row r="40" spans="1:56" ht="15">
      <c r="A40" s="216">
        <f t="shared" si="2"/>
        <v>18</v>
      </c>
      <c r="B40" s="216">
        <f t="shared" si="0"/>
        <v>1</v>
      </c>
      <c r="C40" s="216">
        <v>21</v>
      </c>
      <c r="D40" s="216">
        <v>30</v>
      </c>
      <c r="F40" s="225" t="str">
        <f>IF(C40=L17,CONCATENATE(K16,"-",K17,"/",L16,"/",M16),"September-11")</f>
        <v>September-11</v>
      </c>
      <c r="G40" s="226">
        <f>IF(AND(F9&lt;=C40),H9,IF(AND(F8&lt;=C40,F9&gt;C40),H8,IF(AND(F7&lt;=C40,F8&gt;C40),H7,IF(AND(F6&lt;=C40,F7&gt;C40),H6,IF(AND(F5&lt;=C40,F6&gt;C40),H5,IF(AND(F4&lt;=C40,F5&gt;C40),H4,0))))))</f>
        <v>10600</v>
      </c>
      <c r="H40" s="226">
        <f>IF(AND(E9&lt;=C40),G9,IF(AND(E8&lt;=C40,E9&gt;C40),G8,IF(AND(E7&lt;=C40,E8&gt;C40),G7,IF(AND(E6&lt;=C40,E7&gt;C40),G6,IF(AND(E5&lt;=C40,E6&gt;C40),G5,IF(AND(E4&lt;=C40,E5&gt;C40),G4,0))))))</f>
        <v>10300</v>
      </c>
      <c r="I40" s="254">
        <f t="shared" si="3"/>
        <v>0</v>
      </c>
      <c r="J40" s="255">
        <f t="shared" si="1"/>
        <v>0</v>
      </c>
      <c r="K40" s="216">
        <f>IF(AND(F9=C40,B9=3),H8,IF(AND(F8=C40,F9&gt;C40,B8=3),H7,IF(AND(F7=C40,F8&gt;C40,B7=3),H6,IF(AND(F6=C40,F7&gt;C40,B6=3),H5,IF(AND(F5=C40,F6&gt;C40,B5=3),H4,0)))))</f>
        <v>0</v>
      </c>
      <c r="L40" s="216">
        <f>IF(AND(F9=C40,B9=4,F9=F8),H8,IF(AND(F8=C40,F9&gt;C40,B8=4,F8=F7),H7,IF(AND(F7=C40,F8&gt;C40,B7=4,F7=F6),H6,IF(AND(F6=C40,F7&gt;C40,B6=4,F6=F5),H4,0))))</f>
        <v>0</v>
      </c>
      <c r="M40" s="248">
        <f t="shared" si="4"/>
        <v>0</v>
      </c>
      <c r="N40" s="250">
        <f t="shared" si="5"/>
        <v>0</v>
      </c>
      <c r="O40" s="216">
        <f>IF(AND(F9=C40,B9=2),G8,IF(AND(F8=C40,F9&gt;C40,B8=2),G7,IF(AND(F7=C40,F8&gt;C40,B7=2),G6,IF(AND(F6=C40,F7&gt;C40,B6=2),G5,IF(AND(F5=C40,F6&gt;C40,B5=2),G4,0)))))</f>
        <v>0</v>
      </c>
      <c r="P40" s="216">
        <f>IF(AND(F9=C40,B9=3),G8,IF(AND(F8=C40,F9&gt;C40,B8=3),G7,IF(AND(F7=C40,F8&gt;C40,B7=3),G6,IF(AND(F6=C40,F7&gt;C40,B6=3),G5,IF(AND(F5=C40,F6&gt;C40,B5=3),G4,0)))))</f>
        <v>0</v>
      </c>
      <c r="Q40" s="216">
        <f>IF(AND(F9=C40,B9=4,F9=F8),G8,IF(AND(F8=C40,F9&gt;C40,B8=4,F8=F7),G7,IF(AND(F7=C40,F8&gt;C40,B7=4,F7=F6),G6,IF(AND(F6=C40,F7&gt;C40,B6=4,F6=F5),G4,0))))</f>
        <v>0</v>
      </c>
      <c r="R40" s="251">
        <f t="shared" si="6"/>
        <v>0</v>
      </c>
      <c r="S40" s="258">
        <f>IF(C40&gt;A20,0,IF(C40=L17,ROUND(K18*N40/K17,0.1),N40))</f>
        <v>0</v>
      </c>
      <c r="T40" s="259">
        <f>IF(C40&gt;A20,0,IF(C40=L17,ROUND(K18*R40/K17,0.1),R40))</f>
        <v>0</v>
      </c>
      <c r="U40" s="216">
        <f>IF(AND(C40&gt;=U14,C40&lt;U16),V14,V16)</f>
        <v>3</v>
      </c>
      <c r="V40" s="216">
        <f t="shared" si="8"/>
        <v>20</v>
      </c>
      <c r="W40" s="216">
        <v>29.96</v>
      </c>
      <c r="AH40" s="223">
        <v>19050</v>
      </c>
      <c r="AI40" s="223">
        <v>19580</v>
      </c>
      <c r="AJ40" s="223">
        <v>20110</v>
      </c>
      <c r="AL40" s="223">
        <v>19050</v>
      </c>
      <c r="AM40" s="223">
        <v>19580</v>
      </c>
      <c r="AN40" s="223">
        <v>20110</v>
      </c>
      <c r="AO40" s="207"/>
      <c r="AP40" s="223">
        <v>19050</v>
      </c>
      <c r="AQ40" s="223">
        <v>20110</v>
      </c>
      <c r="AR40" s="223">
        <v>20110</v>
      </c>
      <c r="AT40" s="208"/>
      <c r="AU40" s="209"/>
      <c r="AV40" s="209"/>
      <c r="AX40" s="207"/>
      <c r="AY40" s="207"/>
      <c r="AZ40" s="207"/>
      <c r="BB40" s="207"/>
      <c r="BC40" s="207"/>
      <c r="BD40" s="207"/>
    </row>
    <row r="41" spans="1:56" ht="15">
      <c r="A41" s="216">
        <f t="shared" si="2"/>
        <v>18</v>
      </c>
      <c r="B41" s="216">
        <f t="shared" si="0"/>
        <v>1</v>
      </c>
      <c r="C41" s="216">
        <v>22</v>
      </c>
      <c r="D41" s="216">
        <v>31</v>
      </c>
      <c r="F41" s="225" t="str">
        <f>IF(C41=L17,CONCATENATE(K16,"-",K17,"/",L16,"/",M16),"October-11")</f>
        <v>October-11</v>
      </c>
      <c r="G41" s="226">
        <f>IF(AND(F9&lt;=C41),H9,IF(AND(F8&lt;=C41,F9&gt;C41),H8,IF(AND(F7&lt;=C41,F8&gt;C41),H7,IF(AND(F6&lt;=C41,F7&gt;C41),H6,IF(AND(F5&lt;=C41,F6&gt;C41),H5,IF(AND(F4&lt;=C41,F5&gt;C41),H4,0))))))</f>
        <v>10600</v>
      </c>
      <c r="H41" s="226">
        <f>IF(AND(E9&lt;=C41),G9,IF(AND(E8&lt;=C41,E9&gt;C41),G8,IF(AND(E7&lt;=C41,E8&gt;C41),G7,IF(AND(E6&lt;=C41,E7&gt;C41),G6,IF(AND(E5&lt;=C41,E6&gt;C41),G5,IF(AND(E4&lt;=C41,E5&gt;C41),G4,0))))))</f>
        <v>10300</v>
      </c>
      <c r="I41" s="254">
        <f t="shared" si="3"/>
        <v>0</v>
      </c>
      <c r="J41" s="255">
        <f t="shared" si="1"/>
        <v>0</v>
      </c>
      <c r="K41" s="216">
        <f>IF(AND(F9=C41,B9=3),H8,IF(AND(F8=C41,F9&gt;C41,B8=3),H7,IF(AND(F7=C41,F8&gt;C41,B7=3),H6,IF(AND(F6=C41,F7&gt;C41,B6=3),H5,IF(AND(F5=C41,F6&gt;C41,B5=3),H4,0)))))</f>
        <v>0</v>
      </c>
      <c r="L41" s="216">
        <f>IF(AND(F9=C41,B9=4,F9=F8),H8,IF(AND(F8=C41,F9&gt;C41,B8=4,F8=F7),H7,IF(AND(F7=C41,F8&gt;C41,B7=4,F7=F6),H6,IF(AND(F6=C41,F7&gt;C41,B6=4,F6=F5),H4,0))))</f>
        <v>0</v>
      </c>
      <c r="M41" s="248">
        <f t="shared" si="4"/>
        <v>0</v>
      </c>
      <c r="N41" s="250">
        <f t="shared" si="5"/>
        <v>0</v>
      </c>
      <c r="O41" s="216">
        <f>IF(AND(F9=C41,B9=2),G8,IF(AND(F8=C41,F9&gt;C41,B8=2),G7,IF(AND(F7=C41,F8&gt;C41,B7=2),G6,IF(AND(F6=C41,F7&gt;C41,B6=2),G5,IF(AND(F5=C41,F6&gt;C41,B5=2),G4,0)))))</f>
        <v>0</v>
      </c>
      <c r="P41" s="216">
        <f>IF(AND(F9=C41,B9=3),G8,IF(AND(F8=C41,F9&gt;C41,B8=3),G7,IF(AND(F7=C41,F8&gt;C41,B7=3),G6,IF(AND(F6=C41,F7&gt;C41,B6=3),G5,IF(AND(F5=C41,F6&gt;C41,B5=3),G4,0)))))</f>
        <v>0</v>
      </c>
      <c r="Q41" s="216">
        <f>IF(AND(F9=C41,B9=4,F9=F8),G8,IF(AND(F8=C41,F9&gt;C41,B8=4,F8=F7),G7,IF(AND(F7=C41,F8&gt;C41,B7=4,F7=F6),G6,IF(AND(F6=C41,F7&gt;C41,B6=4,F6=F5),G4,0))))</f>
        <v>0</v>
      </c>
      <c r="R41" s="251">
        <f t="shared" si="6"/>
        <v>0</v>
      </c>
      <c r="S41" s="258">
        <f>IF(C41&gt;A20,0,IF(C41=L17,ROUND(K18*N41/K17,0.1),N41))</f>
        <v>0</v>
      </c>
      <c r="T41" s="259">
        <f>IF(C41&gt;A20,0,IF(C41=L17,ROUND(K18*R41/K17,0.1),R41))</f>
        <v>0</v>
      </c>
      <c r="U41" s="216">
        <f>IF(AND(C41&gt;=U14,C41&lt;U16),V14,V16)</f>
        <v>3</v>
      </c>
      <c r="V41" s="216">
        <f t="shared" si="8"/>
        <v>20</v>
      </c>
      <c r="W41" s="216">
        <v>29.96</v>
      </c>
      <c r="AH41" s="223">
        <v>19580</v>
      </c>
      <c r="AI41" s="223">
        <v>20110</v>
      </c>
      <c r="AJ41" s="223">
        <v>20680</v>
      </c>
      <c r="AL41" s="223">
        <v>19580</v>
      </c>
      <c r="AM41" s="223">
        <v>20110</v>
      </c>
      <c r="AN41" s="223">
        <v>20680</v>
      </c>
      <c r="AO41" s="207"/>
      <c r="AP41" s="223">
        <v>19580</v>
      </c>
      <c r="AQ41" s="223">
        <v>20680</v>
      </c>
      <c r="AR41" s="223">
        <v>20680</v>
      </c>
      <c r="AT41" s="208"/>
      <c r="AU41" s="209"/>
      <c r="AV41" s="209"/>
      <c r="AX41" s="207"/>
      <c r="AY41" s="207"/>
      <c r="AZ41" s="207"/>
      <c r="BB41" s="207"/>
      <c r="BC41" s="207"/>
      <c r="BD41" s="207"/>
    </row>
    <row r="42" spans="1:56" ht="15">
      <c r="A42" s="216">
        <f t="shared" si="2"/>
        <v>18</v>
      </c>
      <c r="B42" s="216">
        <f t="shared" si="0"/>
        <v>1</v>
      </c>
      <c r="C42" s="216">
        <v>23</v>
      </c>
      <c r="D42" s="216">
        <v>30</v>
      </c>
      <c r="F42" s="225" t="str">
        <f>IF(C42=L17,CONCATENATE(K16,"-",K17,"/",L16,"/",M16),"November-11")</f>
        <v>November-11</v>
      </c>
      <c r="G42" s="226">
        <f>IF(AND(F9&lt;=C42),H9,IF(AND(F8&lt;=C42,F9&gt;C42),H8,IF(AND(F7&lt;=C42,F8&gt;C42),H7,IF(AND(F6&lt;=C42,F7&gt;C42),H6,IF(AND(F5&lt;=C42,F6&gt;C42),H5,IF(AND(F4&lt;=C42,F5&gt;C42),H4,0))))))</f>
        <v>10600</v>
      </c>
      <c r="H42" s="226">
        <f>IF(AND(E9&lt;=C42),G9,IF(AND(E8&lt;=C42,E9&gt;C42),G8,IF(AND(E7&lt;=C42,E8&gt;C42),G7,IF(AND(E6&lt;=C42,E7&gt;C42),G6,IF(AND(E5&lt;=C42,E6&gt;C42),G5,IF(AND(E4&lt;=C42,E5&gt;C42),G4,0))))))</f>
        <v>10300</v>
      </c>
      <c r="I42" s="254">
        <f t="shared" si="3"/>
        <v>0</v>
      </c>
      <c r="J42" s="255">
        <f t="shared" si="1"/>
        <v>0</v>
      </c>
      <c r="K42" s="216">
        <f>IF(AND(F9=C42,B9=3),H8,IF(AND(F8=C42,F9&gt;C42,B8=3),H7,IF(AND(F7=C42,F8&gt;C42,B7=3),H6,IF(AND(F6=C42,F7&gt;C42,B6=3),H5,IF(AND(F5=C42,F6&gt;C42,B5=3),H4,0)))))</f>
        <v>0</v>
      </c>
      <c r="L42" s="216">
        <f>IF(AND(F9=C42,B9=4,F9=F8),H8,IF(AND(F8=C42,F9&gt;C42,B8=4,F8=F7),H7,IF(AND(F7=C42,F8&gt;C42,B7=4,F7=F6),H6,IF(AND(F6=C42,F7&gt;C42,B6=4,F6=F5),H4,0))))</f>
        <v>0</v>
      </c>
      <c r="M42" s="248">
        <f t="shared" si="4"/>
        <v>0</v>
      </c>
      <c r="N42" s="250">
        <f t="shared" si="5"/>
        <v>0</v>
      </c>
      <c r="O42" s="216">
        <f>IF(AND(F9=C42,B9=2),G8,IF(AND(F8=C42,F9&gt;C42,B8=2),G7,IF(AND(F7=C42,F8&gt;C42,B7=2),G6,IF(AND(F6=C42,F7&gt;C42,B6=2),G5,IF(AND(F5=C42,F6&gt;C42,B5=2),G4,0)))))</f>
        <v>0</v>
      </c>
      <c r="P42" s="216">
        <f>IF(AND(F9=C42,B9=3),G8,IF(AND(F8=C42,F9&gt;C42,B8=3),G7,IF(AND(F7=C42,F8&gt;C42,B7=3),G6,IF(AND(F6=C42,F7&gt;C42,B6=3),G5,IF(AND(F5=C42,F6&gt;C42,B5=3),G4,0)))))</f>
        <v>0</v>
      </c>
      <c r="Q42" s="216">
        <f>IF(AND(F9=C42,B9=4,F9=F8),G8,IF(AND(F8=C42,F9&gt;C42,B8=4,F8=F7),G7,IF(AND(F7=C42,F8&gt;C42,B7=4,F7=F6),G6,IF(AND(F6=C42,F7&gt;C42,B6=4,F6=F5),G4,0))))</f>
        <v>0</v>
      </c>
      <c r="R42" s="251">
        <f t="shared" si="6"/>
        <v>0</v>
      </c>
      <c r="S42" s="258">
        <f>IF(C42&gt;A20,0,IF(C42=L17,ROUND(K18*N42/K17,0.1),N42))</f>
        <v>0</v>
      </c>
      <c r="T42" s="259">
        <f>IF(C42&gt;A20,0,IF(C42=L17,ROUND(K18*R42/K17,0.1),R42))</f>
        <v>0</v>
      </c>
      <c r="U42" s="216">
        <f>IF(AND(C42&gt;=U14,C42&lt;U16),V14,V16)</f>
        <v>3</v>
      </c>
      <c r="V42" s="216">
        <f t="shared" si="8"/>
        <v>20</v>
      </c>
      <c r="W42" s="216">
        <v>29.96</v>
      </c>
      <c r="AH42" s="223">
        <v>20110</v>
      </c>
      <c r="AI42" s="223">
        <v>20680</v>
      </c>
      <c r="AJ42" s="223">
        <v>21250</v>
      </c>
      <c r="AL42" s="223">
        <v>20110</v>
      </c>
      <c r="AM42" s="223">
        <v>20680</v>
      </c>
      <c r="AN42" s="223">
        <v>21250</v>
      </c>
      <c r="AO42" s="207"/>
      <c r="AP42" s="223">
        <v>20110</v>
      </c>
      <c r="AQ42" s="223">
        <v>21250</v>
      </c>
      <c r="AR42" s="223">
        <v>21250</v>
      </c>
      <c r="AT42" s="208"/>
      <c r="AU42" s="209"/>
      <c r="AV42" s="209"/>
      <c r="AX42" s="207"/>
      <c r="AY42" s="207"/>
      <c r="AZ42" s="207"/>
      <c r="BB42" s="207"/>
      <c r="BC42" s="207"/>
      <c r="BD42" s="207"/>
    </row>
    <row r="43" spans="1:56" ht="15">
      <c r="A43" s="216">
        <f t="shared" si="2"/>
        <v>18</v>
      </c>
      <c r="B43" s="216">
        <f t="shared" si="0"/>
        <v>1</v>
      </c>
      <c r="C43" s="216">
        <v>24</v>
      </c>
      <c r="D43" s="216">
        <v>31</v>
      </c>
      <c r="F43" s="225" t="str">
        <f>IF(C43=L17,CONCATENATE(K16,"-",K17,"/",L16,"/",M16),"December-11")</f>
        <v>December-11</v>
      </c>
      <c r="G43" s="226">
        <f>IF(AND(F9&lt;=C43),H9,IF(AND(F8&lt;=C43,F9&gt;C43),H8,IF(AND(F7&lt;=C43,F8&gt;C43),H7,IF(AND(F6&lt;=C43,F7&gt;C43),H6,IF(AND(F5&lt;=C43,F6&gt;C43),H5,IF(AND(F4&lt;=C43,F5&gt;C43),H4,0))))))</f>
        <v>10600</v>
      </c>
      <c r="H43" s="226">
        <f>IF(AND(E9&lt;=C43),G9,IF(AND(E8&lt;=C43,E9&gt;C43),G8,IF(AND(E7&lt;=C43,E8&gt;C43),G7,IF(AND(E6&lt;=C43,E7&gt;C43),G6,IF(AND(E5&lt;=C43,E6&gt;C43),G5,IF(AND(E4&lt;=C43,E5&gt;C43),G4,0))))))</f>
        <v>10300</v>
      </c>
      <c r="I43" s="254">
        <f t="shared" si="3"/>
        <v>0</v>
      </c>
      <c r="J43" s="255">
        <f t="shared" si="1"/>
        <v>0</v>
      </c>
      <c r="K43" s="216">
        <f>IF(AND(F9=C43,B9=3),H8,IF(AND(F8=C43,F9&gt;C43,B8=3),H7,IF(AND(F7=C43,F8&gt;C43,B7=3),H6,IF(AND(F6=C43,F7&gt;C43,B6=3),H5,IF(AND(F5=C43,F6&gt;C43,B5=3),H4,0)))))</f>
        <v>0</v>
      </c>
      <c r="L43" s="216">
        <f>IF(AND(F9=C43,B9=4,F9=F8),H8,IF(AND(F8=C43,F9&gt;C43,B8=4,F8=F7),H7,IF(AND(F7=C43,F8&gt;C43,B7=4,F7=F6),H6,IF(AND(F6=C43,F7&gt;C43,B6=4,F6=F5),H4,0))))</f>
        <v>0</v>
      </c>
      <c r="M43" s="248">
        <f t="shared" si="4"/>
        <v>0</v>
      </c>
      <c r="N43" s="250">
        <f t="shared" si="5"/>
        <v>0</v>
      </c>
      <c r="O43" s="216">
        <f>IF(AND(F9=C43,B9=2),G8,IF(AND(F8=C43,F9&gt;C43,B8=2),G7,IF(AND(F7=C43,F8&gt;C43,B7=2),G6,IF(AND(F6=C43,F7&gt;C43,B6=2),G5,IF(AND(F5=C43,F6&gt;C43,B5=2),G4,0)))))</f>
        <v>0</v>
      </c>
      <c r="P43" s="216">
        <f>IF(AND(F9=C43,B9=3),G8,IF(AND(F8=C43,F9&gt;C43,B8=3),G7,IF(AND(F7=C43,F8&gt;C43,B7=3),G6,IF(AND(F6=C43,F7&gt;C43,B6=3),G5,IF(AND(F5=C43,F6&gt;C43,B5=3),G4,0)))))</f>
        <v>0</v>
      </c>
      <c r="Q43" s="216">
        <f>IF(AND(F9=C43,B9=4,F9=F8),G8,IF(AND(F8=C43,F9&gt;C43,B8=4,F8=F7),G7,IF(AND(F7=C43,F8&gt;C43,B7=4,F7=F6),G6,IF(AND(F6=C43,F7&gt;C43,B6=4,F6=F5),G4,0))))</f>
        <v>0</v>
      </c>
      <c r="R43" s="251">
        <f t="shared" si="6"/>
        <v>0</v>
      </c>
      <c r="S43" s="258">
        <f>IF(C43&gt;A20,0,IF(C43=L17,ROUND(K18*N43/K17,0.1),N43))</f>
        <v>0</v>
      </c>
      <c r="T43" s="259">
        <f>IF(C43&gt;A20,0,IF(C43=L17,ROUND(K18*R43/K17,0.1),R43))</f>
        <v>0</v>
      </c>
      <c r="U43" s="216">
        <f>IF(AND(C43&gt;=U14,C43&lt;U16),V14,V16)</f>
        <v>3</v>
      </c>
      <c r="V43" s="216">
        <f t="shared" si="8"/>
        <v>20</v>
      </c>
      <c r="W43" s="216">
        <v>29.96</v>
      </c>
      <c r="AH43" s="223">
        <v>20680</v>
      </c>
      <c r="AI43" s="223">
        <v>21250</v>
      </c>
      <c r="AJ43" s="223">
        <v>21820</v>
      </c>
      <c r="AL43" s="223">
        <v>20680</v>
      </c>
      <c r="AM43" s="223">
        <v>21250</v>
      </c>
      <c r="AN43" s="223">
        <v>21820</v>
      </c>
      <c r="AO43" s="207"/>
      <c r="AP43" s="223">
        <v>20680</v>
      </c>
      <c r="AQ43" s="223">
        <v>21820</v>
      </c>
      <c r="AR43" s="223">
        <v>21820</v>
      </c>
      <c r="AT43" s="208"/>
      <c r="AU43" s="209"/>
      <c r="AV43" s="209"/>
      <c r="AX43" s="207"/>
      <c r="AY43" s="207"/>
      <c r="AZ43" s="207"/>
      <c r="BB43" s="207"/>
      <c r="BC43" s="207"/>
      <c r="BD43" s="207"/>
    </row>
    <row r="44" spans="1:56" ht="15">
      <c r="A44" s="216">
        <f t="shared" si="2"/>
        <v>18</v>
      </c>
      <c r="B44" s="216">
        <f t="shared" si="0"/>
        <v>1</v>
      </c>
      <c r="C44" s="216">
        <v>25</v>
      </c>
      <c r="D44" s="216">
        <v>31</v>
      </c>
      <c r="F44" s="225" t="str">
        <f>IF(C44=L17,CONCATENATE(K16,"-",K17,"/",L16,"/",M16),"January-12")</f>
        <v>January-12</v>
      </c>
      <c r="G44" s="226"/>
      <c r="H44" s="226"/>
      <c r="I44" s="254">
        <f t="shared" si="3"/>
        <v>0</v>
      </c>
      <c r="J44" s="255">
        <f t="shared" si="1"/>
        <v>0</v>
      </c>
      <c r="K44" s="216">
        <f>IF(AND(F9=C44,B9=3),H8,IF(AND(F8=C44,F9&gt;C44,B8=3),H7,IF(AND(F7=C44,F8&gt;C44,B7=3),H6,IF(AND(F6=C44,F7&gt;C44,B6=3),H5,IF(AND(F5=C44,F6&gt;C44,B5=3),H4,0)))))</f>
        <v>0</v>
      </c>
      <c r="L44" s="216">
        <f>IF(AND(F9=C44,B9=4,F9=F8),H8,IF(AND(F8=C44,F9&gt;C44,B8=4,F8=F7),H7,IF(AND(F7=C44,F8&gt;C44,B7=4,F7=F6),H6,IF(AND(F6=C44,F7&gt;C44,B6=4,F6=F5),H4,0))))</f>
        <v>0</v>
      </c>
      <c r="M44" s="248">
        <f t="shared" si="4"/>
        <v>0</v>
      </c>
      <c r="N44" s="250">
        <f t="shared" si="5"/>
        <v>0</v>
      </c>
      <c r="O44" s="216">
        <f>IF(AND(F9=C44,B9=2),G8,IF(AND(F8=C44,F9&gt;C44,B8=2),G7,IF(AND(F7=C44,F8&gt;C44,B7=2),G6,IF(AND(F6=C44,F7&gt;C44,B6=2),G5,IF(AND(F5=C44,F6&gt;C44,B5=2),G4,0)))))</f>
        <v>0</v>
      </c>
      <c r="P44" s="216">
        <f>IF(AND(F9=C44,B9=3),G8,IF(AND(F8=C44,F9&gt;C44,B8=3),G7,IF(AND(F7=C44,F8&gt;C44,B7=3),G6,IF(AND(F6=C44,F7&gt;C44,B6=3),G5,IF(AND(F5=C44,F6&gt;C44,B5=3),G4,0)))))</f>
        <v>0</v>
      </c>
      <c r="Q44" s="216">
        <f>IF(AND(F9=C44,B9=4,F9=F8),G8,IF(AND(F8=C44,F9&gt;C44,B8=4,F8=F7),G7,IF(AND(F7=C44,F8&gt;C44,B7=4,F7=F6),G6,IF(AND(F6=C44,F7&gt;C44,B6=4,F6=F5),G4,0))))</f>
        <v>0</v>
      </c>
      <c r="R44" s="251">
        <f t="shared" si="6"/>
        <v>0</v>
      </c>
      <c r="S44" s="258">
        <f>IF(C44&gt;A20,0,IF(C44=L17,ROUND(K18*N44/K17,0.1),N44))</f>
        <v>0</v>
      </c>
      <c r="T44" s="259">
        <f>IF(C44&gt;A20,0,IF(C44=L17,ROUND(K18*R44/K17,0.1),R44))</f>
        <v>0</v>
      </c>
      <c r="U44" s="216">
        <f>IF(AND(C44&gt;=U14,C44&lt;U16),V14,V16)</f>
        <v>3</v>
      </c>
      <c r="V44" s="216">
        <f t="shared" si="8"/>
        <v>20</v>
      </c>
      <c r="W44" s="216">
        <v>29.96</v>
      </c>
      <c r="AH44" s="223">
        <v>21250</v>
      </c>
      <c r="AI44" s="223">
        <v>21820</v>
      </c>
      <c r="AJ44" s="223">
        <v>22430</v>
      </c>
      <c r="AL44" s="223">
        <v>21250</v>
      </c>
      <c r="AM44" s="223">
        <v>21820</v>
      </c>
      <c r="AN44" s="223">
        <v>22430</v>
      </c>
      <c r="AO44" s="207"/>
      <c r="AP44" s="223">
        <v>21250</v>
      </c>
      <c r="AQ44" s="223">
        <v>22430</v>
      </c>
      <c r="AR44" s="223">
        <v>22430</v>
      </c>
      <c r="AT44" s="208"/>
      <c r="AU44" s="209"/>
      <c r="AV44" s="209"/>
      <c r="AX44" s="207"/>
      <c r="AY44" s="207"/>
      <c r="AZ44" s="207"/>
      <c r="BB44" s="207"/>
      <c r="BC44" s="207"/>
      <c r="BD44" s="207"/>
    </row>
    <row r="45" spans="1:56" ht="15">
      <c r="A45" s="216">
        <f t="shared" si="2"/>
        <v>18</v>
      </c>
      <c r="B45" s="216">
        <f t="shared" si="0"/>
        <v>1</v>
      </c>
      <c r="C45" s="216">
        <v>26</v>
      </c>
      <c r="D45" s="216">
        <v>29</v>
      </c>
      <c r="F45" s="225" t="str">
        <f>IF(C45=L17,CONCATENATE(K16,"-",K17,"/",L16,"/",M16),"February-12")</f>
        <v>February-12</v>
      </c>
      <c r="G45" s="226"/>
      <c r="H45" s="226"/>
      <c r="I45" s="254">
        <f t="shared" si="3"/>
        <v>0</v>
      </c>
      <c r="J45" s="255">
        <f t="shared" si="1"/>
        <v>0</v>
      </c>
      <c r="K45" s="216">
        <f>IF(AND(F9=C45,B9=3),H8,IF(AND(F8=C45,F9&gt;C45,B8=3),H7,IF(AND(F7=C45,F8&gt;C45,B7=3),H6,IF(AND(F6=C45,F7&gt;C45,B6=3),H5,IF(AND(F5=C45,F6&gt;C45,B5=3),H4,0)))))</f>
        <v>0</v>
      </c>
      <c r="L45" s="216">
        <f>IF(AND(F9=C45,B9=4,F9=F8),H8,IF(AND(F8=C45,F9&gt;C45,B8=4,F8=F7),H7,IF(AND(F7=C45,F8&gt;C45,B7=4,F7=F6),H6,IF(AND(F6=C45,F7&gt;C45,B6=4,F6=F5),H4,0))))</f>
        <v>0</v>
      </c>
      <c r="M45" s="248">
        <f t="shared" si="4"/>
        <v>0</v>
      </c>
      <c r="N45" s="250">
        <f t="shared" si="5"/>
        <v>0</v>
      </c>
      <c r="O45" s="216">
        <f>IF(AND(F9=C45,B9=2),G8,IF(AND(F8=C45,F9&gt;C45,B8=2),G7,IF(AND(F7=C45,F8&gt;C45,B7=2),G6,IF(AND(F6=C45,F7&gt;C45,B6=2),G5,IF(AND(F5=C45,F6&gt;C45,B5=2),G4,0)))))</f>
        <v>0</v>
      </c>
      <c r="P45" s="216">
        <f>IF(AND(F9=C45,B9=3),G8,IF(AND(F8=C45,F9&gt;C45,B8=3),G7,IF(AND(F7=C45,F8&gt;C45,B7=3),G6,IF(AND(F6=C45,F7&gt;C45,B6=3),G5,IF(AND(F5=C45,F6&gt;C45,B5=3),G4,0)))))</f>
        <v>0</v>
      </c>
      <c r="Q45" s="216">
        <f>IF(AND(F9=C45,B9=4,F9=F8),G8,IF(AND(F8=C45,F9&gt;C45,B8=4,F8=F7),G7,IF(AND(F7=C45,F8&gt;C45,B7=4,F7=F6),G6,IF(AND(F6=C45,F7&gt;C45,B6=4,F6=F5),G4,0))))</f>
        <v>0</v>
      </c>
      <c r="R45" s="251">
        <f t="shared" si="6"/>
        <v>0</v>
      </c>
      <c r="S45" s="258">
        <f>IF(C45&gt;A20,0,IF(C45=L17,ROUND(K18*N45/K17,0.1),N45))</f>
        <v>0</v>
      </c>
      <c r="T45" s="259">
        <f>IF(C45&gt;A20,0,IF(C45=L17,ROUND(K18*R45/K17,0.1),R45))</f>
        <v>0</v>
      </c>
      <c r="AH45" s="223">
        <v>21820</v>
      </c>
      <c r="AI45" s="223">
        <v>22430</v>
      </c>
      <c r="AJ45" s="223">
        <v>23040</v>
      </c>
      <c r="AL45" s="223">
        <v>21820</v>
      </c>
      <c r="AM45" s="223">
        <v>22430</v>
      </c>
      <c r="AN45" s="223">
        <v>23040</v>
      </c>
      <c r="AO45" s="207"/>
      <c r="AP45" s="223">
        <v>21820</v>
      </c>
      <c r="AQ45" s="223">
        <v>23040</v>
      </c>
      <c r="AR45" s="223">
        <v>23040</v>
      </c>
      <c r="AT45" s="208"/>
      <c r="AU45" s="209"/>
      <c r="AV45" s="209"/>
      <c r="AX45" s="207"/>
      <c r="AY45" s="207"/>
      <c r="AZ45" s="207"/>
      <c r="BB45" s="207"/>
      <c r="BC45" s="207"/>
      <c r="BD45" s="207"/>
    </row>
    <row r="46" spans="1:56" ht="15">
      <c r="A46" s="216">
        <f t="shared" si="2"/>
        <v>18</v>
      </c>
      <c r="B46" s="216">
        <f t="shared" si="0"/>
        <v>1</v>
      </c>
      <c r="C46" s="216">
        <v>27</v>
      </c>
      <c r="D46" s="216">
        <v>31</v>
      </c>
      <c r="F46" s="225" t="str">
        <f>IF(C46=L17,CONCATENATE(K16,"-",K17,"/",L16,"/",M16),"March-12")</f>
        <v>March-12</v>
      </c>
      <c r="G46" s="226"/>
      <c r="H46" s="226"/>
      <c r="I46" s="254">
        <f t="shared" si="3"/>
        <v>0</v>
      </c>
      <c r="J46" s="255">
        <f t="shared" si="1"/>
        <v>0</v>
      </c>
      <c r="M46" s="248">
        <f t="shared" si="4"/>
        <v>0</v>
      </c>
      <c r="N46" s="250">
        <f t="shared" si="5"/>
        <v>0</v>
      </c>
      <c r="R46" s="251">
        <f t="shared" si="6"/>
        <v>0</v>
      </c>
      <c r="S46" s="258"/>
      <c r="T46" s="259"/>
      <c r="AH46" s="223">
        <v>22430</v>
      </c>
      <c r="AI46" s="223">
        <v>23040</v>
      </c>
      <c r="AJ46" s="223">
        <v>23650</v>
      </c>
      <c r="AL46" s="223">
        <v>22430</v>
      </c>
      <c r="AM46" s="223">
        <v>23040</v>
      </c>
      <c r="AN46" s="223">
        <v>23650</v>
      </c>
      <c r="AO46" s="207"/>
      <c r="AP46" s="223">
        <v>22430</v>
      </c>
      <c r="AQ46" s="223">
        <v>23650</v>
      </c>
      <c r="AR46" s="223">
        <v>23650</v>
      </c>
      <c r="AT46" s="208"/>
      <c r="AU46" s="209"/>
      <c r="AV46" s="209"/>
      <c r="AX46" s="207"/>
      <c r="AY46" s="207"/>
      <c r="AZ46" s="207"/>
      <c r="BB46" s="207"/>
      <c r="BC46" s="207"/>
      <c r="BD46" s="207"/>
    </row>
    <row r="47" spans="1:56" ht="15">
      <c r="A47" s="216">
        <f t="shared" si="2"/>
        <v>18</v>
      </c>
      <c r="B47" s="216">
        <f t="shared" si="0"/>
        <v>1</v>
      </c>
      <c r="C47" s="216">
        <v>28</v>
      </c>
      <c r="D47" s="216">
        <v>30</v>
      </c>
      <c r="F47" s="225" t="str">
        <f>IF(C47=L17,CONCATENATE(K16,"-",K17,"/",L16,"/",M16),"April-12")</f>
        <v>April-12</v>
      </c>
      <c r="G47" s="226"/>
      <c r="H47" s="226"/>
      <c r="I47" s="254">
        <f t="shared" si="3"/>
        <v>0</v>
      </c>
      <c r="J47" s="255">
        <f t="shared" si="1"/>
        <v>0</v>
      </c>
      <c r="M47" s="248">
        <f t="shared" si="4"/>
        <v>0</v>
      </c>
      <c r="N47" s="250">
        <f t="shared" si="5"/>
        <v>0</v>
      </c>
      <c r="R47" s="251">
        <f t="shared" si="6"/>
        <v>0</v>
      </c>
      <c r="S47" s="258"/>
      <c r="T47" s="259"/>
      <c r="AH47" s="223">
        <v>23040</v>
      </c>
      <c r="AI47" s="223">
        <v>23650</v>
      </c>
      <c r="AJ47" s="223">
        <v>24300</v>
      </c>
      <c r="AL47" s="223">
        <v>23040</v>
      </c>
      <c r="AM47" s="223">
        <v>23650</v>
      </c>
      <c r="AN47" s="223">
        <v>24300</v>
      </c>
      <c r="AO47" s="207"/>
      <c r="AP47" s="223">
        <v>23040</v>
      </c>
      <c r="AQ47" s="223">
        <v>24300</v>
      </c>
      <c r="AR47" s="223">
        <v>24300</v>
      </c>
      <c r="AT47" s="208"/>
      <c r="AU47" s="209"/>
      <c r="AV47" s="209"/>
      <c r="AX47" s="207"/>
      <c r="AY47" s="207"/>
      <c r="AZ47" s="207"/>
      <c r="BB47" s="207"/>
      <c r="BC47" s="207"/>
      <c r="BD47" s="207"/>
    </row>
    <row r="48" spans="1:56" ht="15">
      <c r="A48" s="216">
        <f t="shared" si="2"/>
        <v>18</v>
      </c>
      <c r="B48" s="216">
        <f t="shared" si="0"/>
        <v>1</v>
      </c>
      <c r="C48" s="216">
        <v>29</v>
      </c>
      <c r="D48" s="216">
        <v>31</v>
      </c>
      <c r="F48" s="225" t="str">
        <f>IF(C48=L17,CONCATENATE(K16,"-",K17,"/",L16,"/",M16),"May-12")</f>
        <v>May-12</v>
      </c>
      <c r="G48" s="226"/>
      <c r="H48" s="226"/>
      <c r="I48" s="254">
        <f t="shared" si="3"/>
        <v>0</v>
      </c>
      <c r="J48" s="255">
        <f t="shared" si="1"/>
        <v>0</v>
      </c>
      <c r="M48" s="248">
        <f t="shared" si="4"/>
        <v>0</v>
      </c>
      <c r="N48" s="250">
        <f t="shared" si="5"/>
        <v>0</v>
      </c>
      <c r="R48" s="251">
        <f t="shared" si="6"/>
        <v>0</v>
      </c>
      <c r="S48" s="258"/>
      <c r="T48" s="259"/>
      <c r="AH48" s="223">
        <v>23650</v>
      </c>
      <c r="AI48" s="223">
        <v>24300</v>
      </c>
      <c r="AJ48" s="223">
        <v>24950</v>
      </c>
      <c r="AL48" s="223">
        <v>23650</v>
      </c>
      <c r="AM48" s="223">
        <v>24300</v>
      </c>
      <c r="AN48" s="223">
        <v>24950</v>
      </c>
      <c r="AO48" s="207"/>
      <c r="AP48" s="223">
        <v>23650</v>
      </c>
      <c r="AQ48" s="223">
        <v>24950</v>
      </c>
      <c r="AR48" s="223">
        <v>24950</v>
      </c>
      <c r="AT48" s="208"/>
      <c r="AU48" s="209"/>
      <c r="AV48" s="209"/>
      <c r="AX48" s="207"/>
      <c r="AY48" s="207"/>
      <c r="AZ48" s="207"/>
      <c r="BB48" s="207"/>
      <c r="BC48" s="207"/>
      <c r="BD48" s="207"/>
    </row>
    <row r="49" spans="1:56" ht="15">
      <c r="A49" s="216">
        <f t="shared" si="2"/>
        <v>18</v>
      </c>
      <c r="B49" s="216">
        <f t="shared" si="0"/>
        <v>1</v>
      </c>
      <c r="C49" s="216">
        <v>30</v>
      </c>
      <c r="D49" s="216">
        <v>30</v>
      </c>
      <c r="F49" s="225" t="str">
        <f>IF(C49=L17,CONCATENATE(K16,"-",K17,"/",L16,"/",M16),"June-12")</f>
        <v>June-12</v>
      </c>
      <c r="G49" s="226"/>
      <c r="H49" s="226"/>
      <c r="I49" s="254">
        <f t="shared" si="3"/>
        <v>0</v>
      </c>
      <c r="J49" s="255">
        <f t="shared" si="1"/>
        <v>0</v>
      </c>
      <c r="M49" s="248">
        <f t="shared" si="4"/>
        <v>0</v>
      </c>
      <c r="N49" s="250">
        <f t="shared" si="5"/>
        <v>0</v>
      </c>
      <c r="R49" s="251">
        <f t="shared" si="6"/>
        <v>0</v>
      </c>
      <c r="S49" s="258"/>
      <c r="T49" s="259"/>
      <c r="AH49" s="223">
        <v>24300</v>
      </c>
      <c r="AI49" s="223">
        <v>24950</v>
      </c>
      <c r="AJ49" s="223">
        <v>25600</v>
      </c>
      <c r="AL49" s="223">
        <v>24300</v>
      </c>
      <c r="AM49" s="223">
        <v>24950</v>
      </c>
      <c r="AN49" s="223">
        <v>25600</v>
      </c>
      <c r="AO49" s="207"/>
      <c r="AP49" s="223">
        <v>24300</v>
      </c>
      <c r="AQ49" s="223">
        <v>25600</v>
      </c>
      <c r="AR49" s="223">
        <v>25600</v>
      </c>
      <c r="AT49" s="208"/>
      <c r="AU49" s="209"/>
      <c r="AV49" s="209"/>
      <c r="AX49" s="207"/>
      <c r="AY49" s="207"/>
      <c r="AZ49" s="207"/>
      <c r="BB49" s="207"/>
      <c r="BC49" s="207"/>
      <c r="BD49" s="207"/>
    </row>
    <row r="50" spans="1:56" ht="15.75" thickBot="1">
      <c r="A50" s="216">
        <f t="shared" si="2"/>
        <v>18</v>
      </c>
      <c r="B50" s="216">
        <f t="shared" si="0"/>
        <v>1</v>
      </c>
      <c r="C50" s="216">
        <v>31</v>
      </c>
      <c r="D50" s="216">
        <v>31</v>
      </c>
      <c r="F50" s="225" t="str">
        <f>IF(C50=L17,CONCATENATE(K16,"-",K17,"/",L16,"/",M16),"July-12")</f>
        <v>July-12</v>
      </c>
      <c r="G50" s="226"/>
      <c r="H50" s="226"/>
      <c r="I50" s="256">
        <f t="shared" si="3"/>
        <v>0</v>
      </c>
      <c r="J50" s="257">
        <f t="shared" si="1"/>
        <v>0</v>
      </c>
      <c r="M50" s="248">
        <f t="shared" si="4"/>
        <v>0</v>
      </c>
      <c r="N50" s="250">
        <f t="shared" si="5"/>
        <v>0</v>
      </c>
      <c r="R50" s="251">
        <f t="shared" si="6"/>
        <v>0</v>
      </c>
      <c r="S50" s="258"/>
      <c r="T50" s="259"/>
      <c r="AH50" s="223">
        <v>24950</v>
      </c>
      <c r="AI50" s="223">
        <v>25600</v>
      </c>
      <c r="AJ50" s="223">
        <v>26300</v>
      </c>
      <c r="AL50" s="223">
        <v>24950</v>
      </c>
      <c r="AM50" s="223">
        <v>25600</v>
      </c>
      <c r="AN50" s="223">
        <v>26300</v>
      </c>
      <c r="AO50" s="207"/>
      <c r="AP50" s="223">
        <v>24950</v>
      </c>
      <c r="AQ50" s="223">
        <v>26300</v>
      </c>
      <c r="AR50" s="223">
        <v>26300</v>
      </c>
      <c r="AT50" s="208"/>
      <c r="AU50" s="209"/>
      <c r="AV50" s="209"/>
      <c r="AX50" s="207"/>
      <c r="AY50" s="207"/>
      <c r="AZ50" s="207"/>
      <c r="BB50" s="207"/>
      <c r="BC50" s="207"/>
      <c r="BD50" s="207"/>
    </row>
    <row r="51" spans="1:56" ht="15.75" thickBot="1">
      <c r="A51" s="216">
        <f t="shared" si="2"/>
        <v>18</v>
      </c>
      <c r="B51" s="216">
        <f t="shared" si="0"/>
        <v>1</v>
      </c>
      <c r="C51" s="216">
        <v>0</v>
      </c>
      <c r="D51" s="216">
        <v>0</v>
      </c>
      <c r="I51" s="216">
        <f t="shared" si="3"/>
        <v>0</v>
      </c>
      <c r="J51" s="216">
        <f t="shared" si="1"/>
        <v>0</v>
      </c>
      <c r="R51" s="251">
        <f t="shared" si="6"/>
        <v>0</v>
      </c>
      <c r="S51" s="260"/>
      <c r="T51" s="261"/>
      <c r="AH51" s="223">
        <v>25600</v>
      </c>
      <c r="AI51" s="223">
        <v>26300</v>
      </c>
      <c r="AJ51" s="223">
        <v>27000</v>
      </c>
      <c r="AL51" s="223">
        <v>25600</v>
      </c>
      <c r="AM51" s="223">
        <v>26300</v>
      </c>
      <c r="AN51" s="223">
        <v>27000</v>
      </c>
      <c r="AO51" s="207"/>
      <c r="AP51" s="223">
        <v>25600</v>
      </c>
      <c r="AQ51" s="223">
        <v>27000</v>
      </c>
      <c r="AR51" s="223">
        <v>27000</v>
      </c>
      <c r="AT51" s="208"/>
      <c r="AU51" s="209"/>
      <c r="AV51" s="209"/>
      <c r="AX51" s="207"/>
      <c r="AY51" s="207"/>
      <c r="AZ51" s="207"/>
      <c r="BB51" s="207"/>
      <c r="BC51" s="207"/>
      <c r="BD51" s="207"/>
    </row>
    <row r="52" spans="1:56" ht="15">
      <c r="A52" s="216">
        <f t="shared" si="2"/>
        <v>18</v>
      </c>
      <c r="B52" s="216">
        <f t="shared" si="0"/>
        <v>1</v>
      </c>
      <c r="C52" s="216">
        <v>48</v>
      </c>
      <c r="D52" s="216">
        <v>0</v>
      </c>
      <c r="I52" s="216">
        <f t="shared" si="3"/>
        <v>0</v>
      </c>
      <c r="J52" s="216">
        <f t="shared" si="1"/>
        <v>0</v>
      </c>
      <c r="R52" s="216">
        <f t="shared" si="6"/>
        <v>0</v>
      </c>
      <c r="AH52" s="223">
        <v>26300</v>
      </c>
      <c r="AI52" s="223">
        <v>27000</v>
      </c>
      <c r="AJ52" s="223">
        <v>27700</v>
      </c>
      <c r="AL52" s="223">
        <v>26300</v>
      </c>
      <c r="AM52" s="223">
        <v>27000</v>
      </c>
      <c r="AN52" s="223">
        <v>27700</v>
      </c>
      <c r="AO52" s="207"/>
      <c r="AP52" s="223">
        <v>26300</v>
      </c>
      <c r="AQ52" s="223">
        <v>27700</v>
      </c>
      <c r="AR52" s="223">
        <v>27700</v>
      </c>
      <c r="AT52" s="208"/>
      <c r="AU52" s="209"/>
      <c r="AV52" s="209"/>
      <c r="AX52" s="207"/>
      <c r="AY52" s="207"/>
      <c r="AZ52" s="207"/>
      <c r="BB52" s="207"/>
      <c r="BC52" s="207"/>
      <c r="BD52" s="207"/>
    </row>
    <row r="53" spans="3:56" ht="15">
      <c r="C53" s="216">
        <v>60</v>
      </c>
      <c r="D53" s="216">
        <v>0</v>
      </c>
      <c r="AH53" s="223">
        <v>27000</v>
      </c>
      <c r="AI53" s="223">
        <v>27700</v>
      </c>
      <c r="AJ53" s="223">
        <v>28450</v>
      </c>
      <c r="AL53" s="223">
        <v>27000</v>
      </c>
      <c r="AM53" s="223">
        <v>27700</v>
      </c>
      <c r="AN53" s="223">
        <v>28450</v>
      </c>
      <c r="AO53" s="207"/>
      <c r="AP53" s="223">
        <v>27000</v>
      </c>
      <c r="AQ53" s="223">
        <v>28450</v>
      </c>
      <c r="AR53" s="223">
        <v>28450</v>
      </c>
      <c r="AT53" s="208"/>
      <c r="AU53" s="209"/>
      <c r="AV53" s="209"/>
      <c r="AX53" s="207"/>
      <c r="AY53" s="207"/>
      <c r="AZ53" s="207"/>
      <c r="BB53" s="207"/>
      <c r="BC53" s="207"/>
      <c r="BD53" s="207"/>
    </row>
    <row r="54" spans="34:56" ht="15">
      <c r="AH54" s="223">
        <v>27700</v>
      </c>
      <c r="AI54" s="223">
        <v>28450</v>
      </c>
      <c r="AJ54" s="223">
        <v>29200</v>
      </c>
      <c r="AL54" s="223">
        <v>27700</v>
      </c>
      <c r="AM54" s="223">
        <v>28450</v>
      </c>
      <c r="AN54" s="223">
        <v>29200</v>
      </c>
      <c r="AO54" s="207"/>
      <c r="AP54" s="223">
        <v>27700</v>
      </c>
      <c r="AQ54" s="223">
        <v>29200</v>
      </c>
      <c r="AR54" s="223">
        <v>29200</v>
      </c>
      <c r="AT54" s="208"/>
      <c r="AU54" s="209"/>
      <c r="AV54" s="209"/>
      <c r="AX54" s="207"/>
      <c r="AY54" s="207"/>
      <c r="AZ54" s="207"/>
      <c r="BB54" s="207"/>
      <c r="BC54" s="207"/>
      <c r="BD54" s="207"/>
    </row>
    <row r="55" spans="3:56" ht="15">
      <c r="C55" s="216">
        <v>1</v>
      </c>
      <c r="D55" s="216">
        <v>2</v>
      </c>
      <c r="E55" s="216">
        <v>3</v>
      </c>
      <c r="F55" s="216">
        <v>4</v>
      </c>
      <c r="G55" s="216">
        <v>5</v>
      </c>
      <c r="H55" s="216">
        <v>6</v>
      </c>
      <c r="I55" s="216">
        <v>7</v>
      </c>
      <c r="J55" s="216">
        <v>8</v>
      </c>
      <c r="K55" s="216">
        <v>9</v>
      </c>
      <c r="L55" s="216">
        <v>10</v>
      </c>
      <c r="M55" s="216">
        <v>11</v>
      </c>
      <c r="N55" s="216">
        <v>12</v>
      </c>
      <c r="O55" s="216">
        <v>13</v>
      </c>
      <c r="P55" s="216">
        <v>14</v>
      </c>
      <c r="Q55" s="216">
        <v>15</v>
      </c>
      <c r="R55" s="216">
        <v>16</v>
      </c>
      <c r="S55" s="216">
        <v>17</v>
      </c>
      <c r="T55" s="216">
        <v>18</v>
      </c>
      <c r="AH55" s="223">
        <v>28450</v>
      </c>
      <c r="AI55" s="223">
        <v>29200</v>
      </c>
      <c r="AJ55" s="223">
        <v>29950</v>
      </c>
      <c r="AL55" s="223">
        <v>28450</v>
      </c>
      <c r="AM55" s="223">
        <v>29200</v>
      </c>
      <c r="AN55" s="223">
        <v>29950</v>
      </c>
      <c r="AO55" s="207"/>
      <c r="AP55" s="223">
        <v>28450</v>
      </c>
      <c r="AQ55" s="223">
        <v>29950</v>
      </c>
      <c r="AR55" s="223">
        <v>29950</v>
      </c>
      <c r="AT55" s="208"/>
      <c r="AU55" s="209"/>
      <c r="AV55" s="209"/>
      <c r="AX55" s="207"/>
      <c r="AY55" s="207"/>
      <c r="AZ55" s="207"/>
      <c r="BB55" s="207"/>
      <c r="BC55" s="207"/>
      <c r="BD55" s="207"/>
    </row>
    <row r="56" spans="34:56" ht="15">
      <c r="AH56" s="223">
        <v>29200</v>
      </c>
      <c r="AI56" s="223">
        <v>29950</v>
      </c>
      <c r="AJ56" s="223">
        <v>30750</v>
      </c>
      <c r="AL56" s="223">
        <v>29200</v>
      </c>
      <c r="AM56" s="223">
        <v>29950</v>
      </c>
      <c r="AN56" s="223">
        <v>30750</v>
      </c>
      <c r="AO56" s="207"/>
      <c r="AP56" s="223">
        <v>29200</v>
      </c>
      <c r="AQ56" s="223">
        <v>30750</v>
      </c>
      <c r="AR56" s="223">
        <v>30750</v>
      </c>
      <c r="AT56" s="208"/>
      <c r="AU56" s="209"/>
      <c r="AV56" s="209"/>
      <c r="AX56" s="207"/>
      <c r="AY56" s="207"/>
      <c r="AZ56" s="207"/>
      <c r="BB56" s="207"/>
      <c r="BC56" s="207"/>
      <c r="BD56" s="207"/>
    </row>
    <row r="57" spans="34:56" ht="15.75" thickBot="1">
      <c r="AH57" s="223">
        <v>29950</v>
      </c>
      <c r="AI57" s="223">
        <v>30750</v>
      </c>
      <c r="AJ57" s="223">
        <v>31550</v>
      </c>
      <c r="AL57" s="223">
        <v>29950</v>
      </c>
      <c r="AM57" s="223">
        <v>30750</v>
      </c>
      <c r="AN57" s="223">
        <v>31550</v>
      </c>
      <c r="AO57" s="207"/>
      <c r="AP57" s="223">
        <v>29950</v>
      </c>
      <c r="AQ57" s="223">
        <v>31550</v>
      </c>
      <c r="AR57" s="223">
        <v>31550</v>
      </c>
      <c r="AT57" s="208"/>
      <c r="AU57" s="209"/>
      <c r="AV57" s="209"/>
      <c r="AX57" s="207"/>
      <c r="AY57" s="207"/>
      <c r="AZ57" s="207"/>
      <c r="BB57" s="207"/>
      <c r="BC57" s="207"/>
      <c r="BD57" s="207"/>
    </row>
    <row r="58" spans="13:56" ht="15">
      <c r="M58" s="262"/>
      <c r="N58" s="263"/>
      <c r="O58" s="263"/>
      <c r="P58" s="263"/>
      <c r="Q58" s="263"/>
      <c r="R58" s="263"/>
      <c r="S58" s="263"/>
      <c r="T58" s="263"/>
      <c r="U58" s="263"/>
      <c r="V58" s="264"/>
      <c r="AH58" s="223">
        <v>30750</v>
      </c>
      <c r="AI58" s="223">
        <v>31550</v>
      </c>
      <c r="AJ58" s="223">
        <v>32350</v>
      </c>
      <c r="AL58" s="223">
        <v>30750</v>
      </c>
      <c r="AM58" s="223">
        <v>31550</v>
      </c>
      <c r="AN58" s="223">
        <v>32350</v>
      </c>
      <c r="AO58" s="207"/>
      <c r="AP58" s="223">
        <v>30750</v>
      </c>
      <c r="AQ58" s="223">
        <v>32350</v>
      </c>
      <c r="AR58" s="223">
        <v>32350</v>
      </c>
      <c r="AT58" s="208"/>
      <c r="AU58" s="209"/>
      <c r="AV58" s="209"/>
      <c r="AX58" s="207"/>
      <c r="AY58" s="207"/>
      <c r="AZ58" s="207"/>
      <c r="BB58" s="207"/>
      <c r="BC58" s="207"/>
      <c r="BD58" s="207"/>
    </row>
    <row r="59" spans="13:56" ht="15">
      <c r="M59" s="265"/>
      <c r="V59" s="266"/>
      <c r="AH59" s="223">
        <v>31550</v>
      </c>
      <c r="AI59" s="223">
        <v>32350</v>
      </c>
      <c r="AJ59" s="223">
        <v>33200</v>
      </c>
      <c r="AL59" s="223">
        <v>31550</v>
      </c>
      <c r="AM59" s="223">
        <v>32350</v>
      </c>
      <c r="AN59" s="223">
        <v>33200</v>
      </c>
      <c r="AO59" s="207"/>
      <c r="AP59" s="223">
        <v>31550</v>
      </c>
      <c r="AQ59" s="223">
        <v>33200</v>
      </c>
      <c r="AR59" s="223">
        <v>33200</v>
      </c>
      <c r="AT59" s="208"/>
      <c r="AU59" s="209"/>
      <c r="AV59" s="209"/>
      <c r="AX59" s="207"/>
      <c r="AY59" s="207"/>
      <c r="AZ59" s="207"/>
      <c r="BB59" s="207"/>
      <c r="BC59" s="207"/>
      <c r="BD59" s="207"/>
    </row>
    <row r="60" spans="13:56" ht="15">
      <c r="M60" s="265"/>
      <c r="N60" s="258">
        <f>N61-1</f>
        <v>-1</v>
      </c>
      <c r="O60" s="219">
        <f>IF(B5=3,C5,IF(B6=3,C6,IF(B7=3,C7,IF(B8=3,C8,IF(B9=3,C9,0)))))</f>
        <v>0</v>
      </c>
      <c r="V60" s="266"/>
      <c r="AH60" s="223">
        <v>32350</v>
      </c>
      <c r="AI60" s="223">
        <v>33200</v>
      </c>
      <c r="AJ60" s="223">
        <v>34050</v>
      </c>
      <c r="AL60" s="223">
        <v>32350</v>
      </c>
      <c r="AM60" s="223">
        <v>33200</v>
      </c>
      <c r="AN60" s="223">
        <v>34050</v>
      </c>
      <c r="AO60" s="207"/>
      <c r="AP60" s="223">
        <v>32350</v>
      </c>
      <c r="AQ60" s="223">
        <v>34050</v>
      </c>
      <c r="AR60" s="223">
        <v>34050</v>
      </c>
      <c r="AT60" s="208"/>
      <c r="AU60" s="209"/>
      <c r="AV60" s="209"/>
      <c r="AX60" s="207"/>
      <c r="AY60" s="207"/>
      <c r="AZ60" s="207"/>
      <c r="BB60" s="207"/>
      <c r="BC60" s="207"/>
      <c r="BD60" s="207"/>
    </row>
    <row r="61" spans="13:56" ht="15">
      <c r="M61" s="265"/>
      <c r="N61" s="258">
        <f>DAY(O60)</f>
        <v>0</v>
      </c>
      <c r="O61" s="275">
        <f>MONTH(O60)</f>
        <v>1</v>
      </c>
      <c r="P61" s="275">
        <f>YEAR(O60)</f>
        <v>1900</v>
      </c>
      <c r="Q61" s="216">
        <f>IF(O62&gt;A20,0,IF(P61=1900,"",CONCATENATE(N61,"-",N62,"/",O61,"/",P61)))</f>
      </c>
      <c r="R61" s="216">
        <f>IF(P61=1900,0,VLOOKUP(O62,C21:T50,7,0))</f>
        <v>0</v>
      </c>
      <c r="S61" s="216">
        <f>IF(P61=1900,0,VLOOKUP(O62,C21:T50,8,0))</f>
        <v>0</v>
      </c>
      <c r="V61" s="266"/>
      <c r="AH61" s="223">
        <v>33200</v>
      </c>
      <c r="AI61" s="223">
        <v>34050</v>
      </c>
      <c r="AJ61" s="223">
        <v>34900</v>
      </c>
      <c r="AL61" s="223">
        <v>33200</v>
      </c>
      <c r="AM61" s="223">
        <v>34050</v>
      </c>
      <c r="AN61" s="223">
        <v>34900</v>
      </c>
      <c r="AO61" s="207"/>
      <c r="AP61" s="223">
        <v>33200</v>
      </c>
      <c r="AQ61" s="223">
        <v>34900</v>
      </c>
      <c r="AR61" s="223">
        <v>34900</v>
      </c>
      <c r="AT61" s="208"/>
      <c r="AU61" s="209"/>
      <c r="AV61" s="209"/>
      <c r="AX61" s="207"/>
      <c r="AY61" s="207"/>
      <c r="AZ61" s="207"/>
      <c r="BB61" s="207"/>
      <c r="BC61" s="207"/>
      <c r="BD61" s="207"/>
    </row>
    <row r="62" spans="13:56" ht="15">
      <c r="M62" s="265"/>
      <c r="N62" s="216">
        <f>IF(O60=0/1/1900,0,VLOOKUP(O62,C21:D51,2,0))</f>
        <v>0</v>
      </c>
      <c r="O62" s="216">
        <f>O61+P62</f>
        <v>1</v>
      </c>
      <c r="P62" s="216">
        <f>IF(P61=1900,0,IF(P61=2010,0,IF(P61=2011,12,IF(P61=2012,24))))</f>
        <v>0</v>
      </c>
      <c r="R62" s="216">
        <f>IF(P61=1900,0,VLOOKUP(O62,C21:T50,17,0))</f>
        <v>0</v>
      </c>
      <c r="S62" s="216">
        <f>IF(P61=1900,0,VLOOKUP(O62,C21:T50,18,0))</f>
        <v>0</v>
      </c>
      <c r="V62" s="266"/>
      <c r="AH62" s="223">
        <v>34050</v>
      </c>
      <c r="AI62" s="223">
        <v>34900</v>
      </c>
      <c r="AJ62" s="223">
        <v>35800</v>
      </c>
      <c r="AL62" s="223">
        <v>34050</v>
      </c>
      <c r="AM62" s="223">
        <v>34900</v>
      </c>
      <c r="AN62" s="223">
        <v>35800</v>
      </c>
      <c r="AO62" s="207"/>
      <c r="AP62" s="223">
        <v>34050</v>
      </c>
      <c r="AQ62" s="223">
        <v>35800</v>
      </c>
      <c r="AR62" s="223">
        <v>35800</v>
      </c>
      <c r="AT62" s="208"/>
      <c r="AU62" s="209"/>
      <c r="AV62" s="209"/>
      <c r="AX62" s="207"/>
      <c r="AY62" s="207"/>
      <c r="AZ62" s="207"/>
      <c r="BB62" s="207"/>
      <c r="BC62" s="207"/>
      <c r="BD62" s="207"/>
    </row>
    <row r="63" spans="13:56" ht="15.75" thickBot="1">
      <c r="M63" s="265"/>
      <c r="N63" s="260">
        <f>N62-N61+1</f>
        <v>1</v>
      </c>
      <c r="V63" s="266"/>
      <c r="AH63" s="223">
        <v>34900</v>
      </c>
      <c r="AI63" s="223">
        <v>35800</v>
      </c>
      <c r="AJ63" s="223">
        <v>36700</v>
      </c>
      <c r="AL63" s="223">
        <v>34900</v>
      </c>
      <c r="AM63" s="223">
        <v>35800</v>
      </c>
      <c r="AN63" s="223">
        <v>36700</v>
      </c>
      <c r="AO63" s="207"/>
      <c r="AP63" s="223">
        <v>34900</v>
      </c>
      <c r="AQ63" s="223">
        <v>36700</v>
      </c>
      <c r="AR63" s="223">
        <v>36700</v>
      </c>
      <c r="AT63" s="208"/>
      <c r="AU63" s="209"/>
      <c r="AV63" s="209"/>
      <c r="AX63" s="207"/>
      <c r="AY63" s="207"/>
      <c r="AZ63" s="207"/>
      <c r="BB63" s="207"/>
      <c r="BC63" s="207"/>
      <c r="BD63" s="207"/>
    </row>
    <row r="64" spans="13:56" ht="15">
      <c r="M64" s="265"/>
      <c r="R64" s="216">
        <f>IF(P61=1900,0,ROUND(R61*N63/N62,0.1))</f>
        <v>0</v>
      </c>
      <c r="S64" s="216">
        <f>IF(P61=1900,0,ROUND(S61*N63/N62,0.1))</f>
        <v>0</v>
      </c>
      <c r="V64" s="266"/>
      <c r="AH64" s="223">
        <v>35800</v>
      </c>
      <c r="AI64" s="223">
        <v>36700</v>
      </c>
      <c r="AJ64" s="223">
        <v>37600</v>
      </c>
      <c r="AL64" s="223">
        <v>35800</v>
      </c>
      <c r="AM64" s="223">
        <v>36700</v>
      </c>
      <c r="AN64" s="223">
        <v>37600</v>
      </c>
      <c r="AO64" s="207"/>
      <c r="AP64" s="223">
        <v>35800</v>
      </c>
      <c r="AQ64" s="223">
        <v>37600</v>
      </c>
      <c r="AR64" s="223">
        <v>37600</v>
      </c>
      <c r="AT64" s="208"/>
      <c r="AU64" s="209"/>
      <c r="AV64" s="209"/>
      <c r="AX64" s="207"/>
      <c r="AY64" s="207"/>
      <c r="AZ64" s="207"/>
      <c r="BB64" s="207"/>
      <c r="BC64" s="207"/>
      <c r="BD64" s="207"/>
    </row>
    <row r="65" spans="13:56" ht="15">
      <c r="M65" s="265"/>
      <c r="R65" s="216">
        <f>IF(P61=1900,0,ROUND(R62*N63/N62,0.1))</f>
        <v>0</v>
      </c>
      <c r="S65" s="216">
        <f>IF(P61=1900,0,ROUND(S62*N63/N62,0.1))</f>
        <v>0</v>
      </c>
      <c r="V65" s="266"/>
      <c r="AH65" s="223">
        <v>36700</v>
      </c>
      <c r="AI65" s="223">
        <v>37600</v>
      </c>
      <c r="AJ65" s="223">
        <v>38570</v>
      </c>
      <c r="AL65" s="223">
        <v>36700</v>
      </c>
      <c r="AM65" s="223">
        <v>37600</v>
      </c>
      <c r="AN65" s="223">
        <v>38570</v>
      </c>
      <c r="AO65" s="207"/>
      <c r="AP65" s="223">
        <v>36700</v>
      </c>
      <c r="AQ65" s="223">
        <v>38570</v>
      </c>
      <c r="AR65" s="223">
        <v>38570</v>
      </c>
      <c r="AT65" s="208"/>
      <c r="AU65" s="209"/>
      <c r="AV65" s="209"/>
      <c r="AX65" s="207"/>
      <c r="AY65" s="207"/>
      <c r="AZ65" s="207"/>
      <c r="BB65" s="207"/>
      <c r="BC65" s="207"/>
      <c r="BD65" s="207"/>
    </row>
    <row r="66" spans="13:56" ht="15">
      <c r="M66" s="265"/>
      <c r="R66" s="216">
        <f>IF(O62&gt;A20,0,R64-R65)</f>
        <v>0</v>
      </c>
      <c r="S66" s="216">
        <f>IF(O62&gt;A20,0,S64-S65)</f>
        <v>0</v>
      </c>
      <c r="T66" s="216">
        <f>IF(P61=1900,0,VLOOKUP(O62,C21:W50,21,0))</f>
        <v>0</v>
      </c>
      <c r="U66" s="216">
        <f>IF(P61=1900,0,VLOOKUP(O62,C21:W50,20,0))</f>
        <v>0</v>
      </c>
      <c r="V66" s="266"/>
      <c r="AH66" s="223">
        <v>37600</v>
      </c>
      <c r="AI66" s="223">
        <v>38570</v>
      </c>
      <c r="AJ66" s="223">
        <v>39540</v>
      </c>
      <c r="AL66" s="223">
        <v>37600</v>
      </c>
      <c r="AM66" s="223">
        <v>38570</v>
      </c>
      <c r="AN66" s="223">
        <v>39540</v>
      </c>
      <c r="AO66" s="207"/>
      <c r="AP66" s="223">
        <v>37600</v>
      </c>
      <c r="AQ66" s="223">
        <v>39540</v>
      </c>
      <c r="AR66" s="223">
        <v>39540</v>
      </c>
      <c r="AT66" s="208"/>
      <c r="AU66" s="209"/>
      <c r="AV66" s="209"/>
      <c r="AX66" s="207"/>
      <c r="AY66" s="207"/>
      <c r="AZ66" s="207"/>
      <c r="BB66" s="207"/>
      <c r="BC66" s="207"/>
      <c r="BD66" s="207"/>
    </row>
    <row r="67" spans="13:56" ht="15">
      <c r="M67" s="216" t="s">
        <v>42</v>
      </c>
      <c r="V67" s="266"/>
      <c r="AH67" s="223">
        <v>38570</v>
      </c>
      <c r="AI67" s="223">
        <v>39540</v>
      </c>
      <c r="AJ67" s="223">
        <v>40510</v>
      </c>
      <c r="AL67" s="223">
        <v>38570</v>
      </c>
      <c r="AM67" s="223">
        <v>39540</v>
      </c>
      <c r="AN67" s="223">
        <v>40510</v>
      </c>
      <c r="AO67" s="207"/>
      <c r="AP67" s="223">
        <v>38570</v>
      </c>
      <c r="AQ67" s="223">
        <v>40510</v>
      </c>
      <c r="AR67" s="223">
        <v>40510</v>
      </c>
      <c r="AT67" s="208"/>
      <c r="AU67" s="209"/>
      <c r="AV67" s="209"/>
      <c r="AX67" s="207"/>
      <c r="AY67" s="207"/>
      <c r="AZ67" s="207"/>
      <c r="BB67" s="207"/>
      <c r="BC67" s="207"/>
      <c r="BD67" s="207"/>
    </row>
    <row r="68" spans="13:56" ht="15">
      <c r="M68" s="265"/>
      <c r="V68" s="266"/>
      <c r="AH68" s="223">
        <v>39540</v>
      </c>
      <c r="AI68" s="223">
        <v>40510</v>
      </c>
      <c r="AJ68" s="223">
        <v>41550</v>
      </c>
      <c r="AL68" s="223">
        <v>39540</v>
      </c>
      <c r="AM68" s="223">
        <v>40510</v>
      </c>
      <c r="AN68" s="223">
        <v>41550</v>
      </c>
      <c r="AO68" s="207"/>
      <c r="AP68" s="223">
        <v>39540</v>
      </c>
      <c r="AQ68" s="223">
        <v>41550</v>
      </c>
      <c r="AR68" s="223">
        <v>41550</v>
      </c>
      <c r="AT68" s="208"/>
      <c r="AU68" s="209"/>
      <c r="AV68" s="209"/>
      <c r="AX68" s="207"/>
      <c r="AY68" s="207"/>
      <c r="BB68" s="207"/>
      <c r="BC68" s="207"/>
      <c r="BD68" s="207"/>
    </row>
    <row r="69" spans="13:55" ht="13.5" thickBot="1">
      <c r="M69" s="267"/>
      <c r="N69" s="268"/>
      <c r="O69" s="268"/>
      <c r="P69" s="268"/>
      <c r="Q69" s="268"/>
      <c r="R69" s="268"/>
      <c r="S69" s="268"/>
      <c r="T69" s="268"/>
      <c r="U69" s="268"/>
      <c r="V69" s="269"/>
      <c r="AH69" s="223">
        <v>40510</v>
      </c>
      <c r="AI69" s="223">
        <v>41550</v>
      </c>
      <c r="AJ69" s="223">
        <v>42590</v>
      </c>
      <c r="AL69" s="223">
        <v>40510</v>
      </c>
      <c r="AM69" s="223">
        <v>41550</v>
      </c>
      <c r="AN69" s="223">
        <v>42590</v>
      </c>
      <c r="AO69" s="207"/>
      <c r="AP69" s="223">
        <v>40510</v>
      </c>
      <c r="AQ69" s="223">
        <v>42590</v>
      </c>
      <c r="AR69" s="223">
        <v>42590</v>
      </c>
      <c r="BB69" s="207"/>
      <c r="BC69" s="217"/>
    </row>
    <row r="70" spans="34:44" ht="12.75">
      <c r="AH70" s="223">
        <v>41550</v>
      </c>
      <c r="AI70" s="223">
        <v>42590</v>
      </c>
      <c r="AJ70" s="223">
        <v>43630</v>
      </c>
      <c r="AL70" s="223">
        <v>41550</v>
      </c>
      <c r="AM70" s="223">
        <v>42590</v>
      </c>
      <c r="AN70" s="223">
        <v>43630</v>
      </c>
      <c r="AO70" s="207"/>
      <c r="AP70" s="223">
        <v>41550</v>
      </c>
      <c r="AQ70" s="223">
        <v>43630</v>
      </c>
      <c r="AR70" s="223">
        <v>43630</v>
      </c>
    </row>
    <row r="71" spans="34:44" ht="12.75">
      <c r="AH71" s="223">
        <v>42590</v>
      </c>
      <c r="AI71" s="223">
        <v>43630</v>
      </c>
      <c r="AJ71" s="223">
        <v>44740</v>
      </c>
      <c r="AL71" s="223">
        <v>42590</v>
      </c>
      <c r="AM71" s="223">
        <v>43630</v>
      </c>
      <c r="AN71" s="223">
        <v>44740</v>
      </c>
      <c r="AO71" s="207"/>
      <c r="AP71" s="223">
        <v>42590</v>
      </c>
      <c r="AQ71" s="223">
        <v>44740</v>
      </c>
      <c r="AR71" s="223">
        <v>44740</v>
      </c>
    </row>
    <row r="72" spans="34:44" ht="12.75">
      <c r="AH72" s="223">
        <v>43630</v>
      </c>
      <c r="AI72" s="223">
        <v>44740</v>
      </c>
      <c r="AJ72" s="223">
        <v>45850</v>
      </c>
      <c r="AL72" s="223">
        <v>43630</v>
      </c>
      <c r="AM72" s="223">
        <v>44740</v>
      </c>
      <c r="AN72" s="223">
        <v>45850</v>
      </c>
      <c r="AO72" s="207"/>
      <c r="AP72" s="223">
        <v>43630</v>
      </c>
      <c r="AQ72" s="223">
        <v>45850</v>
      </c>
      <c r="AR72" s="223">
        <v>45850</v>
      </c>
    </row>
    <row r="73" spans="34:44" ht="12.75">
      <c r="AH73" s="223">
        <v>44740</v>
      </c>
      <c r="AI73" s="223">
        <v>45850</v>
      </c>
      <c r="AJ73" s="223">
        <v>46960</v>
      </c>
      <c r="AL73" s="223">
        <v>44740</v>
      </c>
      <c r="AM73" s="223">
        <v>45850</v>
      </c>
      <c r="AN73" s="223">
        <v>46960</v>
      </c>
      <c r="AO73" s="207"/>
      <c r="AP73" s="223">
        <v>44740</v>
      </c>
      <c r="AQ73" s="223">
        <v>46960</v>
      </c>
      <c r="AR73" s="223">
        <v>46960</v>
      </c>
    </row>
    <row r="74" spans="34:44" ht="12.75">
      <c r="AH74" s="223">
        <v>45850</v>
      </c>
      <c r="AI74" s="223">
        <v>46960</v>
      </c>
      <c r="AJ74" s="223">
        <v>48160</v>
      </c>
      <c r="AL74" s="223">
        <v>45850</v>
      </c>
      <c r="AM74" s="223">
        <v>46960</v>
      </c>
      <c r="AN74" s="223">
        <v>48160</v>
      </c>
      <c r="AO74" s="207"/>
      <c r="AP74" s="223">
        <v>45850</v>
      </c>
      <c r="AQ74" s="223">
        <v>48160</v>
      </c>
      <c r="AR74" s="223">
        <v>48160</v>
      </c>
    </row>
    <row r="75" spans="34:44" ht="12.75">
      <c r="AH75" s="223">
        <v>46960</v>
      </c>
      <c r="AI75" s="223">
        <v>48160</v>
      </c>
      <c r="AJ75" s="223">
        <v>49360</v>
      </c>
      <c r="AL75" s="223">
        <v>46960</v>
      </c>
      <c r="AM75" s="223">
        <v>48160</v>
      </c>
      <c r="AN75" s="223">
        <v>49360</v>
      </c>
      <c r="AO75" s="207"/>
      <c r="AP75" s="223">
        <v>46960</v>
      </c>
      <c r="AQ75" s="223">
        <v>49360</v>
      </c>
      <c r="AR75" s="223">
        <v>49360</v>
      </c>
    </row>
    <row r="76" spans="5:44" ht="12.75">
      <c r="E76" s="216">
        <f>Data!AJ101</f>
        <v>21</v>
      </c>
      <c r="F76" s="216">
        <f>VLOOKUP(E76,E79:G103,2,0)</f>
        <v>11</v>
      </c>
      <c r="G76" s="216">
        <f>VLOOKUP(E76,E79:G103,3,0)</f>
        <v>1</v>
      </c>
      <c r="H76" s="216">
        <f>VLOOKUP(E76,E79:I103,4,0)</f>
        <v>10600</v>
      </c>
      <c r="I76" s="216">
        <f>VLOOKUP(E76,E79:I103,5,0)</f>
        <v>10300</v>
      </c>
      <c r="L76" s="216" t="str">
        <f>IF(E76=1,"Not Availed",VLOOKUP(E76,E80:L103,8,0))</f>
        <v>30Days in11/10</v>
      </c>
      <c r="AH76" s="223">
        <v>48160</v>
      </c>
      <c r="AI76" s="223">
        <v>49360</v>
      </c>
      <c r="AJ76" s="223">
        <v>50560</v>
      </c>
      <c r="AL76" s="223">
        <v>48160</v>
      </c>
      <c r="AM76" s="223">
        <v>49360</v>
      </c>
      <c r="AN76" s="223">
        <v>50560</v>
      </c>
      <c r="AO76" s="207"/>
      <c r="AP76" s="223">
        <v>48160</v>
      </c>
      <c r="AQ76" s="223">
        <v>50560</v>
      </c>
      <c r="AR76" s="223">
        <v>50560</v>
      </c>
    </row>
    <row r="77" spans="8:44" ht="12.75">
      <c r="H77" s="216">
        <f>VLOOKUP(E76,E79:N103,9,0)</f>
        <v>24.824</v>
      </c>
      <c r="I77" s="216">
        <f>VLOOKUP(E76,E79:N103,10,0)</f>
        <v>20</v>
      </c>
      <c r="AH77" s="223">
        <v>49360</v>
      </c>
      <c r="AI77" s="223">
        <v>50560</v>
      </c>
      <c r="AJ77" s="223">
        <v>51760</v>
      </c>
      <c r="AL77" s="223">
        <v>49360</v>
      </c>
      <c r="AM77" s="223">
        <v>50560</v>
      </c>
      <c r="AN77" s="223">
        <v>51760</v>
      </c>
      <c r="AO77" s="207"/>
      <c r="AP77" s="223">
        <v>49360</v>
      </c>
      <c r="AQ77" s="223">
        <v>51760</v>
      </c>
      <c r="AR77" s="223">
        <v>51760</v>
      </c>
    </row>
    <row r="78" spans="34:44" ht="12.75">
      <c r="AH78" s="223">
        <v>50560</v>
      </c>
      <c r="AI78" s="223">
        <v>51760</v>
      </c>
      <c r="AJ78" s="223">
        <v>53060</v>
      </c>
      <c r="AL78" s="223">
        <v>50560</v>
      </c>
      <c r="AM78" s="223">
        <v>51760</v>
      </c>
      <c r="AN78" s="223">
        <v>53060</v>
      </c>
      <c r="AO78" s="207"/>
      <c r="AP78" s="223">
        <v>50560</v>
      </c>
      <c r="AQ78" s="223">
        <v>53060</v>
      </c>
      <c r="AR78" s="223">
        <v>53060</v>
      </c>
    </row>
    <row r="79" spans="5:44" ht="12.75">
      <c r="E79" s="216">
        <v>1</v>
      </c>
      <c r="F79" s="216">
        <v>0</v>
      </c>
      <c r="G79" s="216">
        <v>0</v>
      </c>
      <c r="H79" s="216">
        <v>0</v>
      </c>
      <c r="I79" s="216">
        <v>0</v>
      </c>
      <c r="L79" s="216">
        <v>0</v>
      </c>
      <c r="AH79" s="223">
        <v>51760</v>
      </c>
      <c r="AI79" s="223">
        <v>53060</v>
      </c>
      <c r="AJ79" s="223">
        <v>54360</v>
      </c>
      <c r="AL79" s="223">
        <v>51760</v>
      </c>
      <c r="AM79" s="223">
        <v>53060</v>
      </c>
      <c r="AN79" s="223">
        <v>54360</v>
      </c>
      <c r="AO79" s="207"/>
      <c r="AP79" s="223">
        <v>51760</v>
      </c>
      <c r="AQ79" s="223">
        <v>54360</v>
      </c>
      <c r="AR79" s="223">
        <v>54360</v>
      </c>
    </row>
    <row r="80" spans="5:44" ht="14.25">
      <c r="E80" s="216">
        <v>2</v>
      </c>
      <c r="F80" s="216">
        <v>2</v>
      </c>
      <c r="G80" s="216">
        <v>2</v>
      </c>
      <c r="H80" s="216">
        <f>ROUND(H81/2,0.1)</f>
        <v>5150</v>
      </c>
      <c r="I80" s="216">
        <f>ROUND(I81/2,0.1)</f>
        <v>5010</v>
      </c>
      <c r="J80" s="195" t="s">
        <v>526</v>
      </c>
      <c r="K80" s="279" t="s">
        <v>528</v>
      </c>
      <c r="L80" s="216" t="str">
        <f>CONCATENATE(J80,K80)</f>
        <v>15Days in2/10</v>
      </c>
      <c r="M80" s="216">
        <v>16.264</v>
      </c>
      <c r="N80" s="216">
        <f>V21</f>
        <v>20</v>
      </c>
      <c r="AH80" s="223">
        <v>53060</v>
      </c>
      <c r="AI80" s="223">
        <v>54360</v>
      </c>
      <c r="AJ80" s="223">
        <v>55660</v>
      </c>
      <c r="AL80" s="223">
        <v>53060</v>
      </c>
      <c r="AM80" s="223">
        <v>54360</v>
      </c>
      <c r="AN80" s="223">
        <v>55660</v>
      </c>
      <c r="AO80" s="207"/>
      <c r="AP80" s="223">
        <v>53060</v>
      </c>
      <c r="AQ80" s="223">
        <v>55660</v>
      </c>
      <c r="AR80" s="223">
        <v>55660</v>
      </c>
    </row>
    <row r="81" spans="5:44" ht="14.25">
      <c r="E81" s="216">
        <v>3</v>
      </c>
      <c r="F81" s="216">
        <v>2</v>
      </c>
      <c r="G81" s="216">
        <v>1</v>
      </c>
      <c r="H81" s="218">
        <f>'47 In'!C5</f>
        <v>10300</v>
      </c>
      <c r="I81" s="218">
        <f>'47 In'!J5</f>
        <v>10020</v>
      </c>
      <c r="J81" s="195" t="s">
        <v>527</v>
      </c>
      <c r="K81" s="279" t="s">
        <v>528</v>
      </c>
      <c r="L81" s="216" t="str">
        <f aca="true" t="shared" si="9" ref="L81:L103">CONCATENATE(J81,K81)</f>
        <v>30Days in2/10</v>
      </c>
      <c r="M81" s="216">
        <v>16.264</v>
      </c>
      <c r="N81" s="216">
        <f>N80</f>
        <v>20</v>
      </c>
      <c r="AH81" s="223">
        <v>54360</v>
      </c>
      <c r="AI81" s="223">
        <v>55660</v>
      </c>
      <c r="AJ81" s="223">
        <f>AJ80+1300</f>
        <v>56960</v>
      </c>
      <c r="AL81" s="223">
        <v>54360</v>
      </c>
      <c r="AM81" s="223">
        <v>55660</v>
      </c>
      <c r="AN81" s="223">
        <f>AN80+1300</f>
        <v>56960</v>
      </c>
      <c r="AO81" s="207"/>
      <c r="AP81" s="223">
        <v>54360</v>
      </c>
      <c r="AQ81" s="223">
        <f aca="true" t="shared" si="10" ref="AQ81:AR83">AQ80+1300</f>
        <v>56960</v>
      </c>
      <c r="AR81" s="223">
        <f t="shared" si="10"/>
        <v>56960</v>
      </c>
    </row>
    <row r="82" spans="5:44" ht="14.25">
      <c r="E82" s="216">
        <v>4</v>
      </c>
      <c r="F82" s="216">
        <v>3</v>
      </c>
      <c r="G82" s="216">
        <v>2</v>
      </c>
      <c r="H82" s="216">
        <f>ROUND(H83/2,0.1)</f>
        <v>5150</v>
      </c>
      <c r="I82" s="216">
        <f>ROUND(I83/2,0.1)</f>
        <v>5010</v>
      </c>
      <c r="J82" s="195" t="s">
        <v>526</v>
      </c>
      <c r="K82" s="279" t="s">
        <v>529</v>
      </c>
      <c r="L82" s="216" t="str">
        <f t="shared" si="9"/>
        <v>15Days in3/10</v>
      </c>
      <c r="M82" s="216">
        <v>16.264</v>
      </c>
      <c r="N82" s="216">
        <f>V22</f>
        <v>20</v>
      </c>
      <c r="AH82" s="223">
        <v>55660</v>
      </c>
      <c r="AI82" s="223">
        <f>AI81+1300</f>
        <v>56960</v>
      </c>
      <c r="AJ82" s="223">
        <f>AJ81+1300</f>
        <v>58260</v>
      </c>
      <c r="AL82" s="223">
        <v>55660</v>
      </c>
      <c r="AM82" s="223">
        <f>AM81+1300</f>
        <v>56960</v>
      </c>
      <c r="AN82" s="223">
        <f>AN81+1300</f>
        <v>58260</v>
      </c>
      <c r="AO82" s="207"/>
      <c r="AP82" s="223">
        <v>55660</v>
      </c>
      <c r="AQ82" s="223">
        <f t="shared" si="10"/>
        <v>58260</v>
      </c>
      <c r="AR82" s="223">
        <f t="shared" si="10"/>
        <v>58260</v>
      </c>
    </row>
    <row r="83" spans="5:44" ht="14.25">
      <c r="E83" s="216">
        <v>5</v>
      </c>
      <c r="F83" s="216">
        <v>3</v>
      </c>
      <c r="G83" s="216">
        <v>1</v>
      </c>
      <c r="H83" s="218">
        <f>'47 In'!C6</f>
        <v>10300</v>
      </c>
      <c r="I83" s="218">
        <f>'47 In'!J6</f>
        <v>10020</v>
      </c>
      <c r="J83" s="195" t="s">
        <v>527</v>
      </c>
      <c r="K83" s="279" t="s">
        <v>529</v>
      </c>
      <c r="L83" s="216" t="str">
        <f t="shared" si="9"/>
        <v>30Days in3/10</v>
      </c>
      <c r="M83" s="216">
        <v>16.264</v>
      </c>
      <c r="N83" s="216">
        <f>N82</f>
        <v>20</v>
      </c>
      <c r="AH83" s="223">
        <f>AH82+1300</f>
        <v>56960</v>
      </c>
      <c r="AI83" s="223">
        <f>AI82+1300</f>
        <v>58260</v>
      </c>
      <c r="AJ83" s="223">
        <f>AJ82+1300</f>
        <v>59560</v>
      </c>
      <c r="AL83" s="223">
        <f>AL82+1300</f>
        <v>56960</v>
      </c>
      <c r="AM83" s="223">
        <f>AM82+1300</f>
        <v>58260</v>
      </c>
      <c r="AN83" s="223">
        <f>AN82+1300</f>
        <v>59560</v>
      </c>
      <c r="AO83" s="207"/>
      <c r="AP83" s="223">
        <f>AP82+1300</f>
        <v>56960</v>
      </c>
      <c r="AQ83" s="223">
        <f t="shared" si="10"/>
        <v>59560</v>
      </c>
      <c r="AR83" s="223">
        <f t="shared" si="10"/>
        <v>59560</v>
      </c>
    </row>
    <row r="84" spans="5:44" ht="14.25">
      <c r="E84" s="216">
        <v>6</v>
      </c>
      <c r="F84" s="216">
        <v>4</v>
      </c>
      <c r="G84" s="216">
        <v>2</v>
      </c>
      <c r="H84" s="216">
        <f>ROUND(H85/2,0.1)</f>
        <v>5150</v>
      </c>
      <c r="I84" s="216">
        <f>ROUND(I85/2,0.1)</f>
        <v>5010</v>
      </c>
      <c r="J84" s="195" t="s">
        <v>526</v>
      </c>
      <c r="K84" s="279" t="s">
        <v>530</v>
      </c>
      <c r="L84" s="216" t="str">
        <f t="shared" si="9"/>
        <v>15Days in4/10</v>
      </c>
      <c r="M84" s="216">
        <v>16.264</v>
      </c>
      <c r="N84" s="216">
        <f>V23</f>
        <v>20</v>
      </c>
      <c r="AH84" s="223">
        <f>AH83+1300</f>
        <v>58260</v>
      </c>
      <c r="AI84" s="223">
        <f>AI83+1300</f>
        <v>59560</v>
      </c>
      <c r="AJ84">
        <v>0</v>
      </c>
      <c r="AL84" s="223">
        <f>AL83+1300</f>
        <v>58260</v>
      </c>
      <c r="AM84" s="223">
        <f>AM83+1300</f>
        <v>59560</v>
      </c>
      <c r="AN84">
        <v>0</v>
      </c>
      <c r="AP84" s="223">
        <f>AP83+1300</f>
        <v>58260</v>
      </c>
      <c r="AQ84">
        <v>0</v>
      </c>
      <c r="AR84">
        <v>0</v>
      </c>
    </row>
    <row r="85" spans="5:44" ht="14.25">
      <c r="E85" s="216">
        <v>7</v>
      </c>
      <c r="F85" s="216">
        <v>4</v>
      </c>
      <c r="G85" s="216">
        <v>1</v>
      </c>
      <c r="H85" s="218">
        <f>'47 In'!C7</f>
        <v>10300</v>
      </c>
      <c r="I85" s="218">
        <f>'47 In'!J7</f>
        <v>10020</v>
      </c>
      <c r="J85" s="195" t="s">
        <v>527</v>
      </c>
      <c r="K85" s="279" t="s">
        <v>530</v>
      </c>
      <c r="L85" s="216" t="str">
        <f t="shared" si="9"/>
        <v>30Days in4/10</v>
      </c>
      <c r="M85" s="216">
        <v>16.264</v>
      </c>
      <c r="N85" s="216">
        <f>N84</f>
        <v>20</v>
      </c>
      <c r="AH85" s="223">
        <v>0</v>
      </c>
      <c r="AI85">
        <v>0</v>
      </c>
      <c r="AJ85" s="216">
        <v>0</v>
      </c>
      <c r="AL85" s="223">
        <v>0</v>
      </c>
      <c r="AM85">
        <v>0</v>
      </c>
      <c r="AN85" s="216">
        <v>0</v>
      </c>
      <c r="AP85" s="223">
        <v>0</v>
      </c>
      <c r="AQ85">
        <v>0</v>
      </c>
      <c r="AR85" s="216">
        <v>0</v>
      </c>
    </row>
    <row r="86" spans="5:44" ht="14.25">
      <c r="E86" s="216">
        <v>8</v>
      </c>
      <c r="F86" s="216">
        <v>5</v>
      </c>
      <c r="G86" s="216">
        <v>2</v>
      </c>
      <c r="H86" s="216">
        <f>ROUND(H87/2,0.1)</f>
        <v>5150</v>
      </c>
      <c r="I86" s="216">
        <f>ROUND(I87/2,0.1)</f>
        <v>5010</v>
      </c>
      <c r="J86" s="195" t="s">
        <v>526</v>
      </c>
      <c r="K86" s="279" t="s">
        <v>531</v>
      </c>
      <c r="L86" s="216" t="str">
        <f t="shared" si="9"/>
        <v>15Days in5/10</v>
      </c>
      <c r="M86" s="216">
        <v>16.264</v>
      </c>
      <c r="N86" s="216">
        <f>V24</f>
        <v>20</v>
      </c>
      <c r="AQ86" s="207"/>
      <c r="AR86" s="207"/>
    </row>
    <row r="87" spans="5:44" ht="14.25">
      <c r="E87" s="216">
        <v>9</v>
      </c>
      <c r="F87" s="216">
        <v>5</v>
      </c>
      <c r="G87" s="216">
        <v>1</v>
      </c>
      <c r="H87" s="218">
        <f>'47 In'!C8</f>
        <v>10300</v>
      </c>
      <c r="I87" s="218">
        <f>'47 In'!J8</f>
        <v>10020</v>
      </c>
      <c r="J87" s="195" t="s">
        <v>527</v>
      </c>
      <c r="K87" s="279" t="s">
        <v>531</v>
      </c>
      <c r="L87" s="216" t="str">
        <f t="shared" si="9"/>
        <v>30Days in5/10</v>
      </c>
      <c r="M87" s="216">
        <v>16.264</v>
      </c>
      <c r="N87" s="216">
        <f>N86</f>
        <v>20</v>
      </c>
      <c r="AQ87" s="207"/>
      <c r="AR87" s="207"/>
    </row>
    <row r="88" spans="5:44" ht="15">
      <c r="E88" s="216">
        <v>10</v>
      </c>
      <c r="F88" s="216">
        <v>6</v>
      </c>
      <c r="G88" s="216">
        <v>2</v>
      </c>
      <c r="H88" s="216">
        <f>ROUND(H89/2,0.1)</f>
        <v>5150</v>
      </c>
      <c r="I88" s="216">
        <f>ROUND(I89/2,0.1)</f>
        <v>5010</v>
      </c>
      <c r="J88" s="195" t="s">
        <v>526</v>
      </c>
      <c r="K88" s="280" t="s">
        <v>532</v>
      </c>
      <c r="L88" s="216" t="str">
        <f t="shared" si="9"/>
        <v>15Days in6/10</v>
      </c>
      <c r="M88" s="216">
        <v>16.264</v>
      </c>
      <c r="N88" s="211">
        <f>V25</f>
        <v>20</v>
      </c>
      <c r="O88" s="211"/>
      <c r="P88" s="211"/>
      <c r="Q88" s="211"/>
      <c r="R88" s="211"/>
      <c r="S88" s="211"/>
      <c r="T88" s="210"/>
      <c r="U88" s="207"/>
      <c r="V88" s="207"/>
      <c r="W88" s="207"/>
      <c r="X88" s="207"/>
      <c r="Y88" s="207"/>
      <c r="Z88" s="207"/>
      <c r="AQ88" s="207"/>
      <c r="AR88" s="207"/>
    </row>
    <row r="89" spans="5:44" ht="15">
      <c r="E89" s="216">
        <v>11</v>
      </c>
      <c r="F89" s="216">
        <v>6</v>
      </c>
      <c r="G89" s="216">
        <v>1</v>
      </c>
      <c r="H89" s="218">
        <f>'47 In'!C9</f>
        <v>10300</v>
      </c>
      <c r="I89" s="218">
        <f>'47 In'!J9</f>
        <v>10020</v>
      </c>
      <c r="J89" s="195" t="s">
        <v>527</v>
      </c>
      <c r="K89" s="280" t="s">
        <v>532</v>
      </c>
      <c r="L89" s="216" t="str">
        <f t="shared" si="9"/>
        <v>30Days in6/10</v>
      </c>
      <c r="M89" s="216">
        <v>16.264</v>
      </c>
      <c r="N89" s="216">
        <f>N88</f>
        <v>20</v>
      </c>
      <c r="O89" s="212"/>
      <c r="P89" s="212"/>
      <c r="Q89" s="212"/>
      <c r="R89" s="212"/>
      <c r="S89" s="212"/>
      <c r="T89" s="210"/>
      <c r="U89" s="207"/>
      <c r="V89" s="207"/>
      <c r="W89" s="207"/>
      <c r="X89" s="207"/>
      <c r="Y89" s="207"/>
      <c r="Z89" s="207"/>
      <c r="AQ89" s="207"/>
      <c r="AR89" s="207"/>
    </row>
    <row r="90" spans="5:44" ht="15">
      <c r="E90" s="216">
        <v>12</v>
      </c>
      <c r="F90" s="216">
        <v>7</v>
      </c>
      <c r="G90" s="216">
        <v>2</v>
      </c>
      <c r="H90" s="216">
        <f>ROUND(H91/2,0.1)</f>
        <v>5150</v>
      </c>
      <c r="I90" s="216">
        <f>ROUND(I91/2,0.1)</f>
        <v>5010</v>
      </c>
      <c r="J90" s="195" t="s">
        <v>526</v>
      </c>
      <c r="K90" s="281" t="s">
        <v>533</v>
      </c>
      <c r="L90" s="216" t="str">
        <f t="shared" si="9"/>
        <v>15Days in7/10</v>
      </c>
      <c r="M90" s="212">
        <v>24.824</v>
      </c>
      <c r="N90" s="212">
        <f>V26</f>
        <v>20</v>
      </c>
      <c r="O90" s="212"/>
      <c r="P90" s="212"/>
      <c r="Q90" s="212"/>
      <c r="R90" s="212"/>
      <c r="S90" s="212"/>
      <c r="T90" s="210"/>
      <c r="U90" s="207"/>
      <c r="V90" s="207"/>
      <c r="W90" s="207"/>
      <c r="X90" s="207"/>
      <c r="Y90" s="207"/>
      <c r="Z90" s="207"/>
      <c r="AR90" s="207"/>
    </row>
    <row r="91" spans="5:26" ht="15">
      <c r="E91" s="216">
        <v>13</v>
      </c>
      <c r="F91" s="216">
        <v>7</v>
      </c>
      <c r="G91" s="216">
        <v>1</v>
      </c>
      <c r="H91" s="218">
        <f>'47 In'!C10</f>
        <v>10300</v>
      </c>
      <c r="I91" s="218">
        <f>'47 In'!J10</f>
        <v>10020</v>
      </c>
      <c r="J91" s="195" t="s">
        <v>527</v>
      </c>
      <c r="K91" s="281" t="s">
        <v>533</v>
      </c>
      <c r="L91" s="216" t="str">
        <f t="shared" si="9"/>
        <v>30Days in7/10</v>
      </c>
      <c r="M91" s="212">
        <v>24.824</v>
      </c>
      <c r="N91" s="216">
        <f>N90</f>
        <v>20</v>
      </c>
      <c r="O91" s="212"/>
      <c r="P91" s="212"/>
      <c r="Q91" s="212"/>
      <c r="R91" s="212"/>
      <c r="S91" s="212"/>
      <c r="T91" s="210"/>
      <c r="U91" s="207"/>
      <c r="V91" s="207"/>
      <c r="W91" s="207"/>
      <c r="X91" s="207"/>
      <c r="Y91" s="207"/>
      <c r="Z91" s="207"/>
    </row>
    <row r="92" spans="5:26" ht="14.25">
      <c r="E92" s="216">
        <v>14</v>
      </c>
      <c r="F92" s="216">
        <v>8</v>
      </c>
      <c r="G92" s="216">
        <v>2</v>
      </c>
      <c r="H92" s="216">
        <f>ROUND(H93/2,0.1)</f>
        <v>5150</v>
      </c>
      <c r="I92" s="216">
        <f>ROUND(I93/2,0.1)</f>
        <v>5010</v>
      </c>
      <c r="J92" s="195" t="s">
        <v>526</v>
      </c>
      <c r="K92" s="279" t="s">
        <v>534</v>
      </c>
      <c r="L92" s="216" t="str">
        <f t="shared" si="9"/>
        <v>15Days in8/10</v>
      </c>
      <c r="M92" s="212">
        <v>24.824</v>
      </c>
      <c r="N92" s="207">
        <f>V27</f>
        <v>20</v>
      </c>
      <c r="O92" s="207"/>
      <c r="P92" s="207"/>
      <c r="Q92" s="207"/>
      <c r="R92" s="207"/>
      <c r="S92" s="207"/>
      <c r="T92" s="207"/>
      <c r="U92" s="207"/>
      <c r="V92" s="207"/>
      <c r="W92" s="207"/>
      <c r="X92" s="207"/>
      <c r="Y92" s="207"/>
      <c r="Z92" s="207"/>
    </row>
    <row r="93" spans="5:26" ht="14.25">
      <c r="E93" s="216">
        <v>15</v>
      </c>
      <c r="F93" s="216">
        <v>8</v>
      </c>
      <c r="G93" s="216">
        <v>1</v>
      </c>
      <c r="H93" s="218">
        <f>'47 In'!C11</f>
        <v>10300</v>
      </c>
      <c r="I93" s="218">
        <f>'47 In'!J11</f>
        <v>10020</v>
      </c>
      <c r="J93" s="195" t="s">
        <v>527</v>
      </c>
      <c r="K93" s="279" t="s">
        <v>534</v>
      </c>
      <c r="L93" s="216" t="str">
        <f t="shared" si="9"/>
        <v>30Days in8/10</v>
      </c>
      <c r="M93" s="212">
        <v>24.824</v>
      </c>
      <c r="N93" s="216">
        <f>N92</f>
        <v>20</v>
      </c>
      <c r="O93" s="207"/>
      <c r="P93" s="207"/>
      <c r="Q93" s="207"/>
      <c r="R93" s="207"/>
      <c r="S93" s="207"/>
      <c r="T93" s="207"/>
      <c r="U93" s="207"/>
      <c r="V93" s="207"/>
      <c r="W93" s="207"/>
      <c r="X93" s="207"/>
      <c r="Y93" s="207"/>
      <c r="Z93" s="207"/>
    </row>
    <row r="94" spans="5:26" ht="15">
      <c r="E94" s="216">
        <v>16</v>
      </c>
      <c r="F94" s="216">
        <v>9</v>
      </c>
      <c r="G94" s="216">
        <v>2</v>
      </c>
      <c r="H94" s="216">
        <f>ROUND(H95/2,0.1)</f>
        <v>5150</v>
      </c>
      <c r="I94" s="216">
        <f>ROUND(I95/2,0.1)</f>
        <v>5010</v>
      </c>
      <c r="J94" s="195" t="s">
        <v>526</v>
      </c>
      <c r="K94" s="282" t="s">
        <v>535</v>
      </c>
      <c r="L94" s="216" t="str">
        <f t="shared" si="9"/>
        <v>15Days in9/10</v>
      </c>
      <c r="M94" s="212">
        <v>24.824</v>
      </c>
      <c r="N94" s="210">
        <f>V28</f>
        <v>20</v>
      </c>
      <c r="O94" s="210"/>
      <c r="P94" s="210"/>
      <c r="Q94" s="210"/>
      <c r="R94" s="210"/>
      <c r="S94" s="210"/>
      <c r="T94" s="210"/>
      <c r="U94" s="207"/>
      <c r="V94" s="207"/>
      <c r="W94" s="207"/>
      <c r="X94" s="207"/>
      <c r="Y94" s="207"/>
      <c r="Z94" s="207"/>
    </row>
    <row r="95" spans="5:26" ht="15">
      <c r="E95" s="216">
        <v>17</v>
      </c>
      <c r="F95" s="216">
        <v>9</v>
      </c>
      <c r="G95" s="216">
        <v>1</v>
      </c>
      <c r="H95" s="218">
        <f>'47 In'!C12</f>
        <v>10300</v>
      </c>
      <c r="I95" s="218">
        <f>'47 In'!J12</f>
        <v>10020</v>
      </c>
      <c r="J95" s="195" t="s">
        <v>527</v>
      </c>
      <c r="K95" s="282" t="s">
        <v>535</v>
      </c>
      <c r="L95" s="216" t="str">
        <f t="shared" si="9"/>
        <v>30Days in9/10</v>
      </c>
      <c r="M95" s="212">
        <v>24.824</v>
      </c>
      <c r="N95" s="216">
        <f>N94</f>
        <v>20</v>
      </c>
      <c r="O95" s="210"/>
      <c r="P95" s="210"/>
      <c r="Q95" s="210"/>
      <c r="R95" s="210"/>
      <c r="S95" s="210"/>
      <c r="T95" s="210"/>
      <c r="U95" s="207"/>
      <c r="V95" s="207"/>
      <c r="W95" s="207"/>
      <c r="X95" s="207"/>
      <c r="Y95" s="207"/>
      <c r="Z95" s="207"/>
    </row>
    <row r="96" spans="5:26" ht="15">
      <c r="E96" s="216">
        <v>18</v>
      </c>
      <c r="F96" s="216">
        <v>10</v>
      </c>
      <c r="G96" s="216">
        <v>2</v>
      </c>
      <c r="H96" s="216">
        <f>ROUND(H97/2,0.1)</f>
        <v>5300</v>
      </c>
      <c r="I96" s="216">
        <f>ROUND(I97/2,0.1)</f>
        <v>5150</v>
      </c>
      <c r="J96" s="195" t="s">
        <v>526</v>
      </c>
      <c r="K96" s="282" t="s">
        <v>536</v>
      </c>
      <c r="L96" s="216" t="str">
        <f t="shared" si="9"/>
        <v>15Days in10/10</v>
      </c>
      <c r="M96" s="212">
        <v>24.824</v>
      </c>
      <c r="N96" s="210">
        <f>V29</f>
        <v>20</v>
      </c>
      <c r="O96" s="210"/>
      <c r="P96" s="210"/>
      <c r="Q96" s="210"/>
      <c r="R96" s="210"/>
      <c r="S96" s="210"/>
      <c r="T96" s="210"/>
      <c r="U96" s="207"/>
      <c r="V96" s="207"/>
      <c r="W96" s="207"/>
      <c r="X96" s="207"/>
      <c r="Y96" s="207"/>
      <c r="Z96" s="207"/>
    </row>
    <row r="97" spans="5:26" ht="15">
      <c r="E97" s="216">
        <v>19</v>
      </c>
      <c r="F97" s="216">
        <v>10</v>
      </c>
      <c r="G97" s="216">
        <v>1</v>
      </c>
      <c r="H97" s="218">
        <f>'47 In'!C13</f>
        <v>10600</v>
      </c>
      <c r="I97" s="218">
        <f>'47 In'!J13</f>
        <v>10300</v>
      </c>
      <c r="J97" s="195" t="s">
        <v>527</v>
      </c>
      <c r="K97" s="282" t="s">
        <v>536</v>
      </c>
      <c r="L97" s="216" t="str">
        <f t="shared" si="9"/>
        <v>30Days in10/10</v>
      </c>
      <c r="M97" s="212">
        <v>24.824</v>
      </c>
      <c r="N97" s="216">
        <f>N96</f>
        <v>20</v>
      </c>
      <c r="O97" s="210"/>
      <c r="P97" s="210"/>
      <c r="Q97" s="210"/>
      <c r="R97" s="210"/>
      <c r="S97" s="210"/>
      <c r="T97" s="210"/>
      <c r="U97" s="207"/>
      <c r="V97" s="207"/>
      <c r="W97" s="207"/>
      <c r="X97" s="207"/>
      <c r="Y97" s="207"/>
      <c r="Z97" s="207"/>
    </row>
    <row r="98" spans="5:26" ht="15">
      <c r="E98" s="216">
        <v>20</v>
      </c>
      <c r="F98" s="216">
        <v>11</v>
      </c>
      <c r="G98" s="216">
        <v>2</v>
      </c>
      <c r="H98" s="216">
        <f>ROUND(H99/2,0.1)</f>
        <v>5300</v>
      </c>
      <c r="I98" s="216">
        <f>ROUND(I99/2,0.1)</f>
        <v>5150</v>
      </c>
      <c r="J98" s="195" t="s">
        <v>526</v>
      </c>
      <c r="K98" s="282" t="s">
        <v>537</v>
      </c>
      <c r="L98" s="216" t="str">
        <f t="shared" si="9"/>
        <v>15Days in11/10</v>
      </c>
      <c r="M98" s="212">
        <v>24.824</v>
      </c>
      <c r="N98" s="210">
        <f>V30</f>
        <v>20</v>
      </c>
      <c r="O98" s="210"/>
      <c r="P98" s="210"/>
      <c r="Q98" s="210"/>
      <c r="R98" s="210"/>
      <c r="S98" s="210"/>
      <c r="T98" s="210"/>
      <c r="U98" s="207"/>
      <c r="V98" s="207"/>
      <c r="W98" s="207"/>
      <c r="X98" s="207"/>
      <c r="Y98" s="207"/>
      <c r="Z98" s="207"/>
    </row>
    <row r="99" spans="5:26" ht="15">
      <c r="E99" s="216">
        <v>21</v>
      </c>
      <c r="F99" s="216">
        <v>11</v>
      </c>
      <c r="G99" s="216">
        <v>1</v>
      </c>
      <c r="H99" s="218">
        <f>'47 In'!C14</f>
        <v>10600</v>
      </c>
      <c r="I99" s="218">
        <f>'47 In'!J14</f>
        <v>10300</v>
      </c>
      <c r="J99" s="195" t="s">
        <v>527</v>
      </c>
      <c r="K99" s="282" t="s">
        <v>537</v>
      </c>
      <c r="L99" s="216" t="str">
        <f t="shared" si="9"/>
        <v>30Days in11/10</v>
      </c>
      <c r="M99" s="212">
        <v>24.824</v>
      </c>
      <c r="N99" s="216">
        <f>N98</f>
        <v>20</v>
      </c>
      <c r="O99" s="210"/>
      <c r="P99" s="210"/>
      <c r="Q99" s="210"/>
      <c r="R99" s="210"/>
      <c r="S99" s="210"/>
      <c r="T99" s="210"/>
      <c r="U99" s="207"/>
      <c r="V99" s="207"/>
      <c r="W99" s="207"/>
      <c r="X99" s="207"/>
      <c r="Y99" s="207"/>
      <c r="Z99" s="207"/>
    </row>
    <row r="100" spans="5:26" ht="15">
      <c r="E100" s="216">
        <v>22</v>
      </c>
      <c r="F100" s="216">
        <v>12</v>
      </c>
      <c r="G100" s="216">
        <v>2</v>
      </c>
      <c r="H100" s="216">
        <f>ROUND(H101/2,0.1)</f>
        <v>5300</v>
      </c>
      <c r="I100" s="216">
        <f>ROUND(I101/2,0.1)</f>
        <v>5150</v>
      </c>
      <c r="J100" s="195" t="s">
        <v>526</v>
      </c>
      <c r="K100" s="282" t="s">
        <v>538</v>
      </c>
      <c r="L100" s="216" t="str">
        <f t="shared" si="9"/>
        <v>15Days in12/10</v>
      </c>
      <c r="M100" s="212">
        <v>24.824</v>
      </c>
      <c r="N100" s="210">
        <f>V31</f>
        <v>20</v>
      </c>
      <c r="O100" s="210"/>
      <c r="P100" s="210"/>
      <c r="Q100" s="210"/>
      <c r="R100" s="210"/>
      <c r="S100" s="210"/>
      <c r="T100" s="210"/>
      <c r="U100" s="207"/>
      <c r="V100" s="207"/>
      <c r="W100" s="207"/>
      <c r="X100" s="207"/>
      <c r="Y100" s="207"/>
      <c r="Z100" s="207"/>
    </row>
    <row r="101" spans="5:26" ht="15">
      <c r="E101" s="216">
        <v>23</v>
      </c>
      <c r="F101" s="216">
        <v>12</v>
      </c>
      <c r="G101" s="216">
        <v>1</v>
      </c>
      <c r="H101" s="218">
        <f>'47 In'!C15</f>
        <v>10600</v>
      </c>
      <c r="I101" s="218">
        <f>'47 In'!J15</f>
        <v>10300</v>
      </c>
      <c r="J101" s="195" t="s">
        <v>527</v>
      </c>
      <c r="K101" s="282" t="s">
        <v>538</v>
      </c>
      <c r="L101" s="216" t="str">
        <f t="shared" si="9"/>
        <v>30Days in12/10</v>
      </c>
      <c r="M101" s="212">
        <v>24.824</v>
      </c>
      <c r="N101" s="216">
        <f>N100</f>
        <v>20</v>
      </c>
      <c r="O101" s="207"/>
      <c r="P101" s="207"/>
      <c r="Q101" s="207"/>
      <c r="R101" s="207"/>
      <c r="S101" s="207"/>
      <c r="T101" s="207"/>
      <c r="U101" s="207"/>
      <c r="V101" s="207"/>
      <c r="W101" s="207"/>
      <c r="X101" s="207"/>
      <c r="Y101" s="207"/>
      <c r="Z101" s="207"/>
    </row>
    <row r="102" spans="5:26" ht="14.25">
      <c r="E102" s="216">
        <v>24</v>
      </c>
      <c r="F102" s="216">
        <v>13</v>
      </c>
      <c r="G102" s="216">
        <v>2</v>
      </c>
      <c r="H102" s="216">
        <f>ROUND(H103/2,0.1)</f>
        <v>5300</v>
      </c>
      <c r="I102" s="216">
        <f>ROUND(I103/2,0.1)</f>
        <v>5150</v>
      </c>
      <c r="J102" s="195" t="s">
        <v>526</v>
      </c>
      <c r="K102" s="279" t="s">
        <v>539</v>
      </c>
      <c r="L102" s="216" t="str">
        <f t="shared" si="9"/>
        <v>15Days in1/11</v>
      </c>
      <c r="M102" s="207">
        <v>29.96</v>
      </c>
      <c r="N102" s="207">
        <f>V32</f>
        <v>20</v>
      </c>
      <c r="O102" s="207"/>
      <c r="P102" s="207"/>
      <c r="Q102" s="207"/>
      <c r="R102" s="207"/>
      <c r="S102" s="207"/>
      <c r="T102" s="207"/>
      <c r="U102" s="207"/>
      <c r="V102" s="207"/>
      <c r="W102" s="207"/>
      <c r="X102" s="207"/>
      <c r="Y102" s="207"/>
      <c r="Z102" s="207"/>
    </row>
    <row r="103" spans="5:26" ht="14.25">
      <c r="E103" s="216">
        <v>25</v>
      </c>
      <c r="F103" s="216">
        <v>13</v>
      </c>
      <c r="G103" s="216">
        <v>1</v>
      </c>
      <c r="H103" s="218">
        <f>'47 In'!C16</f>
        <v>10600</v>
      </c>
      <c r="I103" s="218">
        <f>'47 In'!J16</f>
        <v>10300</v>
      </c>
      <c r="J103" s="195" t="s">
        <v>527</v>
      </c>
      <c r="K103" s="279" t="s">
        <v>539</v>
      </c>
      <c r="L103" s="216" t="str">
        <f t="shared" si="9"/>
        <v>30Days in1/11</v>
      </c>
      <c r="M103" s="207">
        <v>29.96</v>
      </c>
      <c r="N103" s="216">
        <f>N102</f>
        <v>20</v>
      </c>
      <c r="O103" s="207"/>
      <c r="P103" s="207"/>
      <c r="Q103" s="207"/>
      <c r="R103" s="207"/>
      <c r="S103" s="207"/>
      <c r="T103" s="207"/>
      <c r="U103" s="207"/>
      <c r="V103" s="207"/>
      <c r="W103" s="207"/>
      <c r="X103" s="207"/>
      <c r="Y103" s="207"/>
      <c r="Z103" s="207"/>
    </row>
    <row r="104" spans="9:26" ht="12.75">
      <c r="I104" s="207"/>
      <c r="J104" s="207"/>
      <c r="K104" s="207"/>
      <c r="L104" s="207"/>
      <c r="M104" s="207"/>
      <c r="N104" s="207"/>
      <c r="O104" s="207"/>
      <c r="P104" s="207"/>
      <c r="Q104" s="207"/>
      <c r="R104" s="207"/>
      <c r="S104" s="207"/>
      <c r="T104" s="207"/>
      <c r="U104" s="207"/>
      <c r="V104" s="207"/>
      <c r="W104" s="207"/>
      <c r="X104" s="207"/>
      <c r="Y104" s="207"/>
      <c r="Z104" s="207"/>
    </row>
    <row r="105" spans="9:26" ht="12.75">
      <c r="I105" s="207"/>
      <c r="J105" s="207"/>
      <c r="K105" s="207"/>
      <c r="L105" s="207"/>
      <c r="M105" s="207"/>
      <c r="N105" s="207"/>
      <c r="O105" s="207"/>
      <c r="P105" s="207"/>
      <c r="Q105" s="207"/>
      <c r="R105" s="207"/>
      <c r="S105" s="207"/>
      <c r="T105" s="207"/>
      <c r="U105" s="207"/>
      <c r="V105" s="207"/>
      <c r="W105" s="207"/>
      <c r="X105" s="207"/>
      <c r="Y105" s="207"/>
      <c r="Z105" s="207"/>
    </row>
    <row r="106" spans="9:26" ht="12.75">
      <c r="I106" s="207"/>
      <c r="J106" s="207"/>
      <c r="K106" s="207"/>
      <c r="L106" s="207"/>
      <c r="M106" s="207"/>
      <c r="N106" s="207"/>
      <c r="O106" s="207"/>
      <c r="P106" s="207"/>
      <c r="Q106" s="207"/>
      <c r="R106" s="207"/>
      <c r="S106" s="207"/>
      <c r="T106" s="207"/>
      <c r="U106" s="207"/>
      <c r="V106" s="207"/>
      <c r="W106" s="207"/>
      <c r="X106" s="207"/>
      <c r="Y106" s="207"/>
      <c r="Z106" s="207"/>
    </row>
    <row r="107" spans="6:26" ht="12.75">
      <c r="F107" s="216">
        <f>F108+12</f>
        <v>12</v>
      </c>
      <c r="I107" s="207"/>
      <c r="J107" s="207"/>
      <c r="K107" s="207"/>
      <c r="L107" s="207"/>
      <c r="M107" s="207"/>
      <c r="N107" s="207"/>
      <c r="O107" s="207"/>
      <c r="P107" s="207"/>
      <c r="Q107" s="207"/>
      <c r="R107" s="207"/>
      <c r="S107" s="207"/>
      <c r="T107" s="207"/>
      <c r="U107" s="207"/>
      <c r="V107" s="207"/>
      <c r="W107" s="207"/>
      <c r="X107" s="207"/>
      <c r="Y107" s="207"/>
      <c r="Z107" s="207"/>
    </row>
    <row r="108" spans="5:26" ht="12.75">
      <c r="E108" s="216">
        <f>Data!AN101</f>
        <v>1</v>
      </c>
      <c r="F108" s="216">
        <f>VLOOKUP(E108,E111:G135,2,0)</f>
        <v>0</v>
      </c>
      <c r="H108" s="216">
        <f>VLOOKUP(E108,E111:I135,4,0)</f>
        <v>0</v>
      </c>
      <c r="I108" s="216">
        <f>VLOOKUP(E108,E111:I135,5,0)</f>
        <v>0</v>
      </c>
      <c r="J108" s="207"/>
      <c r="K108" s="207"/>
      <c r="L108" s="216" t="str">
        <f>IF(E108=1,"Not Availed",VLOOKUP(E108,E112:L135,8,0))</f>
        <v>Not Availed</v>
      </c>
      <c r="M108" s="207"/>
      <c r="N108" s="207"/>
      <c r="O108" s="207"/>
      <c r="P108" s="207"/>
      <c r="Q108" s="207"/>
      <c r="R108" s="207"/>
      <c r="S108" s="207"/>
      <c r="T108" s="207"/>
      <c r="U108" s="207"/>
      <c r="V108" s="207"/>
      <c r="W108" s="207"/>
      <c r="X108" s="207"/>
      <c r="Y108" s="207"/>
      <c r="Z108" s="207"/>
    </row>
    <row r="109" spans="8:26" ht="12.75">
      <c r="H109" s="216">
        <f>VLOOKUP(E108,E111:N135,9,0)</f>
        <v>0</v>
      </c>
      <c r="I109" s="216">
        <f>VLOOKUP(E108,E111:N135,10,0)</f>
        <v>0</v>
      </c>
      <c r="J109" s="207"/>
      <c r="K109" s="207"/>
      <c r="L109" s="207"/>
      <c r="M109" s="207"/>
      <c r="N109" s="207"/>
      <c r="O109" s="207"/>
      <c r="P109" s="207"/>
      <c r="Q109" s="207"/>
      <c r="R109" s="207"/>
      <c r="S109" s="207"/>
      <c r="T109" s="207"/>
      <c r="U109" s="207"/>
      <c r="V109" s="207"/>
      <c r="W109" s="207"/>
      <c r="X109" s="207"/>
      <c r="Y109" s="207"/>
      <c r="Z109" s="207"/>
    </row>
    <row r="110" spans="9:26" ht="12.75">
      <c r="I110" s="207"/>
      <c r="J110" s="207"/>
      <c r="K110" s="207"/>
      <c r="L110" s="207"/>
      <c r="M110" s="207"/>
      <c r="N110" s="207"/>
      <c r="O110" s="207"/>
      <c r="P110" s="207"/>
      <c r="Q110" s="207"/>
      <c r="R110" s="207"/>
      <c r="S110" s="207"/>
      <c r="T110" s="207"/>
      <c r="U110" s="207"/>
      <c r="V110" s="207"/>
      <c r="W110" s="207"/>
      <c r="X110" s="207"/>
      <c r="Y110" s="207"/>
      <c r="Z110" s="207"/>
    </row>
    <row r="111" spans="5:26" ht="12.75">
      <c r="E111" s="216">
        <v>1</v>
      </c>
      <c r="F111" s="216">
        <v>0</v>
      </c>
      <c r="H111" s="216">
        <v>0</v>
      </c>
      <c r="I111" s="207">
        <v>0</v>
      </c>
      <c r="J111" s="207"/>
      <c r="K111" s="207"/>
      <c r="L111" s="207"/>
      <c r="M111" s="207">
        <v>0</v>
      </c>
      <c r="N111" s="207">
        <v>0</v>
      </c>
      <c r="O111" s="207"/>
      <c r="P111" s="207"/>
      <c r="Q111" s="207"/>
      <c r="R111" s="207"/>
      <c r="S111" s="207"/>
      <c r="T111" s="207"/>
      <c r="U111" s="207"/>
      <c r="V111" s="207"/>
      <c r="W111" s="207"/>
      <c r="X111" s="207"/>
      <c r="Y111" s="207"/>
      <c r="Z111" s="207"/>
    </row>
    <row r="112" spans="5:26" ht="14.25">
      <c r="E112" s="216">
        <v>2</v>
      </c>
      <c r="F112" s="216">
        <v>2</v>
      </c>
      <c r="H112" s="216">
        <f>ROUND(H113/2,0.1)</f>
        <v>5300</v>
      </c>
      <c r="I112" s="216">
        <f>ROUND(I113/2,0.1)</f>
        <v>5150</v>
      </c>
      <c r="J112" s="195" t="s">
        <v>526</v>
      </c>
      <c r="K112" s="279" t="s">
        <v>540</v>
      </c>
      <c r="L112" s="216" t="str">
        <f>CONCATENATE(J112,K112)</f>
        <v>15Days in2/11</v>
      </c>
      <c r="M112" s="207">
        <v>29.96</v>
      </c>
      <c r="N112" s="216">
        <f>V33</f>
        <v>20</v>
      </c>
      <c r="O112" s="207"/>
      <c r="P112" s="207"/>
      <c r="Q112" s="207"/>
      <c r="R112" s="207"/>
      <c r="S112" s="207"/>
      <c r="T112" s="207"/>
      <c r="U112" s="207"/>
      <c r="V112" s="207"/>
      <c r="W112" s="207"/>
      <c r="X112" s="207"/>
      <c r="Y112" s="207"/>
      <c r="Z112" s="207"/>
    </row>
    <row r="113" spans="5:26" ht="14.25">
      <c r="E113" s="216">
        <v>3</v>
      </c>
      <c r="F113" s="216">
        <v>2</v>
      </c>
      <c r="H113" s="218">
        <f>'47 In'!C17</f>
        <v>10600</v>
      </c>
      <c r="I113" s="218">
        <f>'47 In'!J17</f>
        <v>10300</v>
      </c>
      <c r="J113" s="195" t="s">
        <v>527</v>
      </c>
      <c r="K113" s="279" t="s">
        <v>540</v>
      </c>
      <c r="L113" s="216" t="str">
        <f aca="true" t="shared" si="11" ref="L113:L135">CONCATENATE(J113,K113)</f>
        <v>30Days in2/11</v>
      </c>
      <c r="M113" s="207">
        <v>29.96</v>
      </c>
      <c r="N113" s="216">
        <f>N112</f>
        <v>20</v>
      </c>
      <c r="O113" s="207"/>
      <c r="P113" s="207"/>
      <c r="Q113" s="207"/>
      <c r="R113" s="207"/>
      <c r="S113" s="207"/>
      <c r="T113" s="207"/>
      <c r="U113" s="207"/>
      <c r="V113" s="207"/>
      <c r="W113" s="207"/>
      <c r="X113" s="207"/>
      <c r="Y113" s="207"/>
      <c r="Z113" s="207"/>
    </row>
    <row r="114" spans="5:26" ht="14.25">
      <c r="E114" s="216">
        <v>4</v>
      </c>
      <c r="F114" s="216">
        <v>3</v>
      </c>
      <c r="H114" s="216">
        <f>ROUND(H115/2,0.1)</f>
        <v>5300</v>
      </c>
      <c r="I114" s="216">
        <f>ROUND(I115/2,0.1)</f>
        <v>5150</v>
      </c>
      <c r="J114" s="195" t="s">
        <v>526</v>
      </c>
      <c r="K114" s="279" t="s">
        <v>541</v>
      </c>
      <c r="L114" s="216" t="str">
        <f t="shared" si="11"/>
        <v>15Days in3/11</v>
      </c>
      <c r="M114" s="207">
        <v>29.96</v>
      </c>
      <c r="N114" s="216">
        <f>V34</f>
        <v>20</v>
      </c>
      <c r="O114" s="207"/>
      <c r="P114" s="207"/>
      <c r="Q114" s="207"/>
      <c r="R114" s="207"/>
      <c r="S114" s="207"/>
      <c r="T114" s="207"/>
      <c r="U114" s="207"/>
      <c r="V114" s="207"/>
      <c r="W114" s="207"/>
      <c r="X114" s="207"/>
      <c r="Y114" s="207"/>
      <c r="Z114" s="207"/>
    </row>
    <row r="115" spans="5:26" ht="14.25">
      <c r="E115" s="216">
        <v>5</v>
      </c>
      <c r="F115" s="216">
        <v>3</v>
      </c>
      <c r="H115" s="218">
        <f>'47 In'!C18</f>
        <v>10600</v>
      </c>
      <c r="I115" s="218">
        <f>'47 In'!J18</f>
        <v>10300</v>
      </c>
      <c r="J115" s="195" t="s">
        <v>527</v>
      </c>
      <c r="K115" s="279" t="s">
        <v>541</v>
      </c>
      <c r="L115" s="216" t="str">
        <f t="shared" si="11"/>
        <v>30Days in3/11</v>
      </c>
      <c r="M115" s="207">
        <v>29.96</v>
      </c>
      <c r="N115" s="216">
        <f>N114</f>
        <v>20</v>
      </c>
      <c r="O115" s="207"/>
      <c r="P115" s="207"/>
      <c r="Q115" s="207"/>
      <c r="R115" s="207"/>
      <c r="S115" s="207"/>
      <c r="T115" s="207"/>
      <c r="U115" s="207"/>
      <c r="V115" s="207"/>
      <c r="W115" s="207"/>
      <c r="X115" s="207"/>
      <c r="Y115" s="207"/>
      <c r="Z115" s="207"/>
    </row>
    <row r="116" spans="5:26" ht="14.25">
      <c r="E116" s="216">
        <v>6</v>
      </c>
      <c r="F116" s="216">
        <v>4</v>
      </c>
      <c r="H116" s="216">
        <f>ROUND(H117/2,0.1)</f>
        <v>5300</v>
      </c>
      <c r="I116" s="216">
        <f>ROUND(I117/2,0.1)</f>
        <v>5150</v>
      </c>
      <c r="J116" s="195" t="s">
        <v>526</v>
      </c>
      <c r="K116" s="279" t="s">
        <v>542</v>
      </c>
      <c r="L116" s="216" t="str">
        <f t="shared" si="11"/>
        <v>15Days in4/11</v>
      </c>
      <c r="M116" s="207">
        <v>29.96</v>
      </c>
      <c r="N116" s="216">
        <f>V35</f>
        <v>20</v>
      </c>
      <c r="O116" s="207"/>
      <c r="P116" s="207"/>
      <c r="Q116" s="207"/>
      <c r="R116" s="207"/>
      <c r="S116" s="207"/>
      <c r="T116" s="207"/>
      <c r="U116" s="207"/>
      <c r="V116" s="207"/>
      <c r="W116" s="207"/>
      <c r="X116" s="207"/>
      <c r="Y116" s="207"/>
      <c r="Z116" s="207"/>
    </row>
    <row r="117" spans="5:26" ht="14.25">
      <c r="E117" s="216">
        <v>7</v>
      </c>
      <c r="F117" s="216">
        <v>4</v>
      </c>
      <c r="H117" s="218">
        <f>'47 In'!C19</f>
        <v>10600</v>
      </c>
      <c r="I117" s="218">
        <f>'47 In'!J19</f>
        <v>10300</v>
      </c>
      <c r="J117" s="195" t="s">
        <v>527</v>
      </c>
      <c r="K117" s="279" t="s">
        <v>542</v>
      </c>
      <c r="L117" s="216" t="str">
        <f t="shared" si="11"/>
        <v>30Days in4/11</v>
      </c>
      <c r="M117" s="207">
        <v>29.96</v>
      </c>
      <c r="N117" s="216">
        <f>N116</f>
        <v>20</v>
      </c>
      <c r="O117" s="207"/>
      <c r="P117" s="207"/>
      <c r="Q117" s="207"/>
      <c r="R117" s="207"/>
      <c r="S117" s="207"/>
      <c r="T117" s="207"/>
      <c r="U117" s="207"/>
      <c r="V117" s="207"/>
      <c r="W117" s="207"/>
      <c r="X117" s="207"/>
      <c r="Y117" s="207"/>
      <c r="Z117" s="207"/>
    </row>
    <row r="118" spans="5:26" ht="14.25">
      <c r="E118" s="216">
        <v>8</v>
      </c>
      <c r="F118" s="216">
        <v>5</v>
      </c>
      <c r="H118" s="216">
        <f>ROUND(H119/2,0.1)</f>
        <v>5300</v>
      </c>
      <c r="I118" s="216">
        <f>ROUND(I119/2,0.1)</f>
        <v>5150</v>
      </c>
      <c r="J118" s="195" t="s">
        <v>526</v>
      </c>
      <c r="K118" s="279" t="s">
        <v>543</v>
      </c>
      <c r="L118" s="216" t="str">
        <f t="shared" si="11"/>
        <v>15Days in5/11</v>
      </c>
      <c r="M118" s="207">
        <v>29.96</v>
      </c>
      <c r="N118" s="216">
        <f>V36</f>
        <v>20</v>
      </c>
      <c r="O118" s="207"/>
      <c r="P118" s="207"/>
      <c r="Q118" s="207"/>
      <c r="R118" s="207"/>
      <c r="S118" s="207"/>
      <c r="T118" s="207"/>
      <c r="U118" s="207"/>
      <c r="V118" s="207"/>
      <c r="W118" s="207"/>
      <c r="X118" s="207"/>
      <c r="Y118" s="207"/>
      <c r="Z118" s="207"/>
    </row>
    <row r="119" spans="5:26" ht="14.25">
      <c r="E119" s="216">
        <v>9</v>
      </c>
      <c r="F119" s="216">
        <v>5</v>
      </c>
      <c r="H119" s="218">
        <f>'47 In'!C20</f>
        <v>10600</v>
      </c>
      <c r="I119" s="218">
        <f>'47 In'!J20</f>
        <v>10300</v>
      </c>
      <c r="J119" s="195" t="s">
        <v>527</v>
      </c>
      <c r="K119" s="279" t="s">
        <v>543</v>
      </c>
      <c r="L119" s="216" t="str">
        <f t="shared" si="11"/>
        <v>30Days in5/11</v>
      </c>
      <c r="M119" s="207">
        <v>29.96</v>
      </c>
      <c r="N119" s="216">
        <f>N118</f>
        <v>20</v>
      </c>
      <c r="O119" s="207"/>
      <c r="P119" s="207"/>
      <c r="Q119" s="207"/>
      <c r="R119" s="207"/>
      <c r="S119" s="207"/>
      <c r="T119" s="207"/>
      <c r="U119" s="207"/>
      <c r="V119" s="207"/>
      <c r="W119" s="207"/>
      <c r="X119" s="207"/>
      <c r="Y119" s="207"/>
      <c r="Z119" s="207"/>
    </row>
    <row r="120" spans="5:26" ht="14.25">
      <c r="E120" s="216">
        <v>10</v>
      </c>
      <c r="F120" s="216">
        <v>6</v>
      </c>
      <c r="H120" s="216">
        <f>ROUND(H121/2,0.1)</f>
        <v>5300</v>
      </c>
      <c r="I120" s="216">
        <f>ROUND(I121/2,0.1)</f>
        <v>5150</v>
      </c>
      <c r="J120" s="195" t="s">
        <v>526</v>
      </c>
      <c r="K120" s="280" t="s">
        <v>544</v>
      </c>
      <c r="L120" s="216" t="str">
        <f t="shared" si="11"/>
        <v>15Days in6/11</v>
      </c>
      <c r="M120" s="207">
        <v>29.96</v>
      </c>
      <c r="N120" s="216">
        <f>V37</f>
        <v>20</v>
      </c>
      <c r="O120" s="207"/>
      <c r="P120" s="207"/>
      <c r="Q120" s="207"/>
      <c r="R120" s="207"/>
      <c r="S120" s="207"/>
      <c r="T120" s="207"/>
      <c r="U120" s="207"/>
      <c r="V120" s="207"/>
      <c r="W120" s="207"/>
      <c r="X120" s="207"/>
      <c r="Y120" s="207"/>
      <c r="Z120" s="207"/>
    </row>
    <row r="121" spans="5:26" ht="14.25">
      <c r="E121" s="216">
        <v>11</v>
      </c>
      <c r="F121" s="216">
        <v>6</v>
      </c>
      <c r="H121" s="218">
        <f>'47 In'!C21</f>
        <v>10600</v>
      </c>
      <c r="I121" s="218">
        <f>'47 In'!J21</f>
        <v>10300</v>
      </c>
      <c r="J121" s="195" t="s">
        <v>527</v>
      </c>
      <c r="K121" s="280" t="s">
        <v>544</v>
      </c>
      <c r="L121" s="216" t="str">
        <f t="shared" si="11"/>
        <v>30Days in6/11</v>
      </c>
      <c r="M121" s="207">
        <v>29.96</v>
      </c>
      <c r="N121" s="216">
        <f>N120</f>
        <v>20</v>
      </c>
      <c r="O121" s="207"/>
      <c r="P121" s="207"/>
      <c r="Q121" s="207"/>
      <c r="R121" s="207"/>
      <c r="S121" s="207"/>
      <c r="T121" s="207"/>
      <c r="U121" s="207"/>
      <c r="V121" s="207"/>
      <c r="W121" s="207"/>
      <c r="X121" s="207"/>
      <c r="Y121" s="207"/>
      <c r="Z121" s="207"/>
    </row>
    <row r="122" spans="5:33" ht="14.25">
      <c r="E122" s="216">
        <v>12</v>
      </c>
      <c r="F122" s="216">
        <v>7</v>
      </c>
      <c r="G122" s="218"/>
      <c r="H122" s="216">
        <f>ROUND(H123/2,0.1)</f>
        <v>0</v>
      </c>
      <c r="I122" s="216">
        <f>ROUND(I123/2,0.1)</f>
        <v>0</v>
      </c>
      <c r="J122" s="195" t="s">
        <v>526</v>
      </c>
      <c r="K122" s="281" t="s">
        <v>545</v>
      </c>
      <c r="L122" s="216" t="str">
        <f t="shared" si="11"/>
        <v>15Days in7/11</v>
      </c>
      <c r="M122" s="207">
        <v>29.96</v>
      </c>
      <c r="N122" s="216">
        <f>V38</f>
        <v>20</v>
      </c>
      <c r="O122" s="218"/>
      <c r="P122" s="218"/>
      <c r="Q122" s="218"/>
      <c r="R122" s="218"/>
      <c r="S122" s="218"/>
      <c r="T122" s="218"/>
      <c r="U122" s="218"/>
      <c r="V122" s="218"/>
      <c r="W122" s="218"/>
      <c r="X122" s="218"/>
      <c r="Y122" s="218"/>
      <c r="Z122" s="218"/>
      <c r="AA122" s="218"/>
      <c r="AB122" s="218"/>
      <c r="AC122" s="218"/>
      <c r="AD122" s="218"/>
      <c r="AE122" s="218"/>
      <c r="AF122" s="218"/>
      <c r="AG122" s="218"/>
    </row>
    <row r="123" spans="5:33" ht="14.25">
      <c r="E123" s="216">
        <v>13</v>
      </c>
      <c r="F123" s="216">
        <v>7</v>
      </c>
      <c r="G123" s="218"/>
      <c r="H123" s="218">
        <f>'47 In'!C22</f>
        <v>0</v>
      </c>
      <c r="I123" s="218">
        <f>'47 In'!J22</f>
        <v>0</v>
      </c>
      <c r="J123" s="195" t="s">
        <v>527</v>
      </c>
      <c r="K123" s="281" t="s">
        <v>545</v>
      </c>
      <c r="L123" s="216" t="str">
        <f t="shared" si="11"/>
        <v>30Days in7/11</v>
      </c>
      <c r="M123" s="207">
        <v>29.96</v>
      </c>
      <c r="N123" s="216">
        <f>N122</f>
        <v>20</v>
      </c>
      <c r="O123" s="218"/>
      <c r="P123" s="218"/>
      <c r="Q123" s="218"/>
      <c r="R123" s="218"/>
      <c r="S123" s="218"/>
      <c r="T123" s="218"/>
      <c r="U123" s="218"/>
      <c r="V123" s="218"/>
      <c r="W123" s="218"/>
      <c r="X123" s="218"/>
      <c r="Y123" s="218"/>
      <c r="Z123" s="218"/>
      <c r="AA123" s="218"/>
      <c r="AB123" s="218"/>
      <c r="AC123" s="218"/>
      <c r="AD123" s="218"/>
      <c r="AE123" s="218"/>
      <c r="AF123" s="218"/>
      <c r="AG123" s="218"/>
    </row>
    <row r="124" spans="5:33" ht="14.25">
      <c r="E124" s="216">
        <v>14</v>
      </c>
      <c r="F124" s="216">
        <v>8</v>
      </c>
      <c r="G124" s="218"/>
      <c r="H124" s="216">
        <f>ROUND(H125/2,0.1)</f>
        <v>0</v>
      </c>
      <c r="I124" s="216">
        <f>ROUND(I125/2,0.1)</f>
        <v>0</v>
      </c>
      <c r="J124" s="195" t="s">
        <v>526</v>
      </c>
      <c r="K124" s="279" t="s">
        <v>546</v>
      </c>
      <c r="L124" s="216" t="str">
        <f t="shared" si="11"/>
        <v>15Days in8/11</v>
      </c>
      <c r="M124" s="207">
        <v>29.96</v>
      </c>
      <c r="N124" s="216">
        <f>V39</f>
        <v>20</v>
      </c>
      <c r="O124" s="218"/>
      <c r="P124" s="218"/>
      <c r="Q124" s="218"/>
      <c r="R124" s="218"/>
      <c r="S124" s="218"/>
      <c r="T124" s="218"/>
      <c r="U124" s="218"/>
      <c r="V124" s="218"/>
      <c r="W124" s="218"/>
      <c r="X124" s="218"/>
      <c r="Y124" s="218"/>
      <c r="Z124" s="218"/>
      <c r="AA124" s="218"/>
      <c r="AB124" s="218"/>
      <c r="AC124" s="218"/>
      <c r="AD124" s="218"/>
      <c r="AE124" s="218"/>
      <c r="AF124" s="218"/>
      <c r="AG124" s="218"/>
    </row>
    <row r="125" spans="1:33" ht="14.25">
      <c r="A125" s="207"/>
      <c r="E125" s="216">
        <v>15</v>
      </c>
      <c r="F125" s="216">
        <v>8</v>
      </c>
      <c r="G125" s="218"/>
      <c r="H125" s="218">
        <f>'47 In'!C23</f>
        <v>0</v>
      </c>
      <c r="I125" s="218">
        <f>'47 In'!J23</f>
        <v>0</v>
      </c>
      <c r="J125" s="195" t="s">
        <v>527</v>
      </c>
      <c r="K125" s="279" t="s">
        <v>546</v>
      </c>
      <c r="L125" s="216" t="str">
        <f t="shared" si="11"/>
        <v>30Days in8/11</v>
      </c>
      <c r="M125" s="207">
        <v>29.96</v>
      </c>
      <c r="N125" s="216">
        <f>N124</f>
        <v>20</v>
      </c>
      <c r="O125" s="218"/>
      <c r="P125" s="218"/>
      <c r="Q125" s="218"/>
      <c r="R125" s="218"/>
      <c r="S125" s="218"/>
      <c r="T125" s="218"/>
      <c r="U125" s="218"/>
      <c r="V125" s="218"/>
      <c r="W125" s="218"/>
      <c r="X125" s="218"/>
      <c r="Y125" s="218"/>
      <c r="Z125" s="218"/>
      <c r="AA125" s="218"/>
      <c r="AB125" s="218"/>
      <c r="AC125" s="218"/>
      <c r="AD125" s="218"/>
      <c r="AE125" s="218"/>
      <c r="AF125" s="218"/>
      <c r="AG125" s="218"/>
    </row>
    <row r="126" spans="1:33" ht="15">
      <c r="A126" s="207"/>
      <c r="E126" s="216">
        <v>16</v>
      </c>
      <c r="F126" s="216">
        <v>9</v>
      </c>
      <c r="G126" s="218"/>
      <c r="H126" s="216">
        <f>ROUND(H127/2,0.1)</f>
        <v>0</v>
      </c>
      <c r="I126" s="216">
        <f>ROUND(I127/2,0.1)</f>
        <v>0</v>
      </c>
      <c r="J126" s="195" t="s">
        <v>526</v>
      </c>
      <c r="K126" s="282" t="s">
        <v>547</v>
      </c>
      <c r="L126" s="216" t="str">
        <f t="shared" si="11"/>
        <v>15Days in9/11</v>
      </c>
      <c r="M126" s="207">
        <v>29.96</v>
      </c>
      <c r="N126" s="216">
        <f>V40</f>
        <v>20</v>
      </c>
      <c r="O126" s="218"/>
      <c r="P126" s="218"/>
      <c r="Q126" s="218"/>
      <c r="R126" s="218"/>
      <c r="S126" s="218"/>
      <c r="T126" s="218"/>
      <c r="U126" s="218"/>
      <c r="V126" s="218"/>
      <c r="W126" s="218"/>
      <c r="X126" s="218"/>
      <c r="Y126" s="218"/>
      <c r="Z126" s="218"/>
      <c r="AA126" s="218"/>
      <c r="AB126" s="218"/>
      <c r="AC126" s="218"/>
      <c r="AD126" s="218"/>
      <c r="AE126" s="218"/>
      <c r="AF126" s="218"/>
      <c r="AG126" s="218"/>
    </row>
    <row r="127" spans="1:33" ht="15">
      <c r="A127" s="207"/>
      <c r="E127" s="216">
        <v>17</v>
      </c>
      <c r="F127" s="216">
        <v>9</v>
      </c>
      <c r="G127" s="218"/>
      <c r="H127" s="218">
        <f>'47 In'!C24</f>
        <v>0</v>
      </c>
      <c r="I127" s="218">
        <f>'47 In'!J24</f>
        <v>0</v>
      </c>
      <c r="J127" s="195" t="s">
        <v>527</v>
      </c>
      <c r="K127" s="282" t="s">
        <v>547</v>
      </c>
      <c r="L127" s="216" t="str">
        <f t="shared" si="11"/>
        <v>30Days in9/11</v>
      </c>
      <c r="M127" s="207">
        <v>29.96</v>
      </c>
      <c r="N127" s="216">
        <f>N126</f>
        <v>20</v>
      </c>
      <c r="O127" s="218"/>
      <c r="P127" s="218"/>
      <c r="Q127" s="218"/>
      <c r="R127" s="218"/>
      <c r="S127" s="218"/>
      <c r="T127" s="218"/>
      <c r="U127" s="218"/>
      <c r="V127" s="218"/>
      <c r="W127" s="218"/>
      <c r="X127" s="218"/>
      <c r="Y127" s="218"/>
      <c r="Z127" s="218"/>
      <c r="AA127" s="218"/>
      <c r="AB127" s="218"/>
      <c r="AC127" s="218"/>
      <c r="AD127" s="218"/>
      <c r="AE127" s="218"/>
      <c r="AF127" s="218"/>
      <c r="AG127" s="218"/>
    </row>
    <row r="128" spans="1:33" ht="15">
      <c r="A128" s="207"/>
      <c r="E128" s="216">
        <v>18</v>
      </c>
      <c r="F128" s="216">
        <v>10</v>
      </c>
      <c r="G128" s="218"/>
      <c r="H128" s="216">
        <f>ROUND(H129/2,0.1)</f>
        <v>0</v>
      </c>
      <c r="I128" s="216">
        <f>ROUND(I129/2,0.1)</f>
        <v>0</v>
      </c>
      <c r="J128" s="195" t="s">
        <v>526</v>
      </c>
      <c r="K128" s="282" t="s">
        <v>548</v>
      </c>
      <c r="L128" s="216" t="str">
        <f t="shared" si="11"/>
        <v>15Days in10/11</v>
      </c>
      <c r="M128" s="207">
        <v>29.96</v>
      </c>
      <c r="N128" s="216">
        <f>V41</f>
        <v>20</v>
      </c>
      <c r="O128" s="218"/>
      <c r="P128" s="218"/>
      <c r="Q128" s="218"/>
      <c r="R128" s="218"/>
      <c r="S128" s="218"/>
      <c r="T128" s="218"/>
      <c r="U128" s="218"/>
      <c r="V128" s="218"/>
      <c r="W128" s="218"/>
      <c r="X128" s="218"/>
      <c r="Y128" s="218"/>
      <c r="Z128" s="218"/>
      <c r="AA128" s="218"/>
      <c r="AB128" s="218"/>
      <c r="AC128" s="218"/>
      <c r="AD128" s="218"/>
      <c r="AE128" s="218"/>
      <c r="AF128" s="218"/>
      <c r="AG128" s="218"/>
    </row>
    <row r="129" spans="1:33" ht="15">
      <c r="A129" s="207"/>
      <c r="E129" s="216">
        <v>19</v>
      </c>
      <c r="F129" s="216">
        <v>10</v>
      </c>
      <c r="G129" s="218"/>
      <c r="H129" s="218">
        <f>'47 In'!C25</f>
        <v>0</v>
      </c>
      <c r="I129" s="218">
        <f>'47 In'!J25</f>
        <v>0</v>
      </c>
      <c r="J129" s="195" t="s">
        <v>527</v>
      </c>
      <c r="K129" s="282" t="s">
        <v>548</v>
      </c>
      <c r="L129" s="216" t="str">
        <f t="shared" si="11"/>
        <v>30Days in10/11</v>
      </c>
      <c r="M129" s="207">
        <v>29.96</v>
      </c>
      <c r="N129" s="216">
        <f>N128</f>
        <v>20</v>
      </c>
      <c r="O129" s="218"/>
      <c r="P129" s="218"/>
      <c r="Q129" s="218"/>
      <c r="R129" s="218"/>
      <c r="S129" s="218"/>
      <c r="T129" s="218"/>
      <c r="U129" s="218"/>
      <c r="V129" s="218"/>
      <c r="W129" s="218"/>
      <c r="X129" s="218"/>
      <c r="Y129" s="218"/>
      <c r="Z129" s="218"/>
      <c r="AA129" s="218"/>
      <c r="AB129" s="218"/>
      <c r="AC129" s="218"/>
      <c r="AD129" s="218"/>
      <c r="AE129" s="218"/>
      <c r="AF129" s="218"/>
      <c r="AG129" s="218"/>
    </row>
    <row r="130" spans="1:33" ht="15">
      <c r="A130" s="207"/>
      <c r="E130" s="216">
        <v>20</v>
      </c>
      <c r="F130" s="216">
        <v>11</v>
      </c>
      <c r="G130" s="218"/>
      <c r="H130" s="216">
        <f>ROUND(H131/2,0.1)</f>
        <v>0</v>
      </c>
      <c r="I130" s="216">
        <f>ROUND(I131/2,0.1)</f>
        <v>0</v>
      </c>
      <c r="J130" s="195" t="s">
        <v>526</v>
      </c>
      <c r="K130" s="282" t="s">
        <v>549</v>
      </c>
      <c r="L130" s="216" t="str">
        <f t="shared" si="11"/>
        <v>15Days in11/11</v>
      </c>
      <c r="M130" s="207">
        <v>29.96</v>
      </c>
      <c r="N130" s="216">
        <f>V42</f>
        <v>20</v>
      </c>
      <c r="O130" s="218"/>
      <c r="P130" s="218"/>
      <c r="Q130" s="218"/>
      <c r="R130" s="218"/>
      <c r="S130" s="218"/>
      <c r="T130" s="218"/>
      <c r="U130" s="218"/>
      <c r="V130" s="218"/>
      <c r="W130" s="218"/>
      <c r="X130" s="218"/>
      <c r="Y130" s="218"/>
      <c r="Z130" s="218"/>
      <c r="AA130" s="218"/>
      <c r="AB130" s="218"/>
      <c r="AC130" s="218"/>
      <c r="AD130" s="218"/>
      <c r="AE130" s="218"/>
      <c r="AF130" s="218"/>
      <c r="AG130" s="218"/>
    </row>
    <row r="131" spans="1:33" ht="15">
      <c r="A131" s="207"/>
      <c r="E131" s="216">
        <v>21</v>
      </c>
      <c r="F131" s="216">
        <v>11</v>
      </c>
      <c r="G131" s="218"/>
      <c r="H131" s="218">
        <f>'47 In'!C26</f>
        <v>0</v>
      </c>
      <c r="I131" s="218">
        <f>'47 In'!J26</f>
        <v>0</v>
      </c>
      <c r="J131" s="195" t="s">
        <v>527</v>
      </c>
      <c r="K131" s="282" t="s">
        <v>549</v>
      </c>
      <c r="L131" s="216" t="str">
        <f t="shared" si="11"/>
        <v>30Days in11/11</v>
      </c>
      <c r="M131" s="207">
        <v>29.96</v>
      </c>
      <c r="N131" s="216">
        <f>N130</f>
        <v>20</v>
      </c>
      <c r="O131" s="218"/>
      <c r="P131" s="218"/>
      <c r="Q131" s="218"/>
      <c r="R131" s="218"/>
      <c r="S131" s="218"/>
      <c r="T131" s="218"/>
      <c r="U131" s="218"/>
      <c r="V131" s="218"/>
      <c r="W131" s="218"/>
      <c r="X131" s="218"/>
      <c r="Y131" s="218"/>
      <c r="Z131" s="218"/>
      <c r="AA131" s="218"/>
      <c r="AB131" s="218"/>
      <c r="AC131" s="218"/>
      <c r="AD131" s="218"/>
      <c r="AE131" s="218"/>
      <c r="AF131" s="218"/>
      <c r="AG131" s="218"/>
    </row>
    <row r="132" spans="1:33" ht="15">
      <c r="A132" s="207"/>
      <c r="E132" s="216">
        <v>22</v>
      </c>
      <c r="F132" s="216">
        <v>12</v>
      </c>
      <c r="G132" s="218"/>
      <c r="H132" s="216">
        <f>ROUND(H133/2,0.1)</f>
        <v>0</v>
      </c>
      <c r="I132" s="216">
        <f>ROUND(I133/2,0.1)</f>
        <v>0</v>
      </c>
      <c r="J132" s="195" t="s">
        <v>526</v>
      </c>
      <c r="K132" s="282" t="s">
        <v>550</v>
      </c>
      <c r="L132" s="216" t="str">
        <f t="shared" si="11"/>
        <v>15Days in12/11</v>
      </c>
      <c r="M132" s="207">
        <v>29.96</v>
      </c>
      <c r="N132" s="216">
        <f>V43</f>
        <v>20</v>
      </c>
      <c r="O132" s="218"/>
      <c r="P132" s="218"/>
      <c r="Q132" s="218"/>
      <c r="R132" s="218"/>
      <c r="S132" s="218"/>
      <c r="T132" s="218"/>
      <c r="U132" s="218"/>
      <c r="V132" s="218"/>
      <c r="W132" s="218"/>
      <c r="X132" s="218"/>
      <c r="Y132" s="218"/>
      <c r="Z132" s="218"/>
      <c r="AA132" s="218"/>
      <c r="AB132" s="218"/>
      <c r="AC132" s="218"/>
      <c r="AD132" s="218"/>
      <c r="AE132" s="218"/>
      <c r="AF132" s="218"/>
      <c r="AG132" s="218"/>
    </row>
    <row r="133" spans="1:33" ht="19.5" customHeight="1">
      <c r="A133" s="207"/>
      <c r="E133" s="216">
        <v>23</v>
      </c>
      <c r="F133" s="216">
        <v>12</v>
      </c>
      <c r="G133" s="218"/>
      <c r="H133" s="218">
        <f>'47 In'!C27</f>
        <v>0</v>
      </c>
      <c r="I133" s="218">
        <f>'47 In'!J27</f>
        <v>0</v>
      </c>
      <c r="J133" s="195" t="s">
        <v>527</v>
      </c>
      <c r="K133" s="282" t="s">
        <v>550</v>
      </c>
      <c r="L133" s="216" t="str">
        <f t="shared" si="11"/>
        <v>30Days in12/11</v>
      </c>
      <c r="M133" s="218"/>
      <c r="N133" s="216">
        <f>N132</f>
        <v>20</v>
      </c>
      <c r="O133" s="218"/>
      <c r="P133" s="218"/>
      <c r="Q133" s="218"/>
      <c r="R133" s="218"/>
      <c r="S133" s="218"/>
      <c r="T133" s="218"/>
      <c r="U133" s="218"/>
      <c r="V133" s="218"/>
      <c r="W133" s="218"/>
      <c r="X133" s="218"/>
      <c r="Y133" s="218"/>
      <c r="Z133" s="218"/>
      <c r="AA133" s="218"/>
      <c r="AB133" s="218"/>
      <c r="AC133" s="218"/>
      <c r="AD133" s="218"/>
      <c r="AE133" s="218"/>
      <c r="AF133" s="218"/>
      <c r="AG133" s="218"/>
    </row>
    <row r="134" spans="1:33" ht="14.25">
      <c r="A134" s="207"/>
      <c r="E134" s="216">
        <v>24</v>
      </c>
      <c r="F134" s="216">
        <v>13</v>
      </c>
      <c r="G134" s="218"/>
      <c r="H134" s="216">
        <f>ROUND(H135/2,0.1)</f>
        <v>0</v>
      </c>
      <c r="I134" s="216">
        <f>ROUND(I135/2,0.1)</f>
        <v>0</v>
      </c>
      <c r="J134" s="195" t="s">
        <v>526</v>
      </c>
      <c r="K134" s="279" t="s">
        <v>551</v>
      </c>
      <c r="L134" s="216" t="str">
        <f t="shared" si="11"/>
        <v>15Days in1/12</v>
      </c>
      <c r="M134" s="218"/>
      <c r="N134" s="216">
        <f>V44</f>
        <v>20</v>
      </c>
      <c r="O134" s="218"/>
      <c r="P134" s="218"/>
      <c r="Q134" s="218"/>
      <c r="R134" s="218"/>
      <c r="S134" s="218"/>
      <c r="T134" s="218"/>
      <c r="U134" s="218"/>
      <c r="V134" s="218"/>
      <c r="W134" s="218"/>
      <c r="X134" s="218"/>
      <c r="Y134" s="218"/>
      <c r="Z134" s="218"/>
      <c r="AA134" s="218"/>
      <c r="AB134" s="218"/>
      <c r="AC134" s="218"/>
      <c r="AD134" s="218"/>
      <c r="AE134" s="218"/>
      <c r="AF134" s="218"/>
      <c r="AG134" s="218"/>
    </row>
    <row r="135" spans="1:14" ht="14.25">
      <c r="A135" s="207"/>
      <c r="E135" s="216">
        <v>25</v>
      </c>
      <c r="F135" s="216">
        <v>13</v>
      </c>
      <c r="H135" s="218"/>
      <c r="J135" s="195" t="s">
        <v>527</v>
      </c>
      <c r="K135" s="279" t="s">
        <v>551</v>
      </c>
      <c r="L135" s="216" t="str">
        <f t="shared" si="11"/>
        <v>30Days in1/12</v>
      </c>
      <c r="N135" s="216">
        <f>N134</f>
        <v>20</v>
      </c>
    </row>
    <row r="136" ht="12.75">
      <c r="A136" s="207"/>
    </row>
    <row r="137" spans="1:33" ht="12.75">
      <c r="A137" s="207"/>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row>
    <row r="138" spans="1:34" ht="12.75">
      <c r="A138" s="207"/>
      <c r="AH138" s="218"/>
    </row>
    <row r="139" spans="1:34" ht="12.75">
      <c r="A139" s="207"/>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row>
    <row r="140" spans="1:34" ht="12.75">
      <c r="A140" s="207"/>
      <c r="AH140" s="218"/>
    </row>
    <row r="141" spans="1:34" ht="12.75">
      <c r="A141" s="207"/>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row>
    <row r="142" spans="1:34" ht="12.75">
      <c r="A142" s="207"/>
      <c r="AH142" s="218"/>
    </row>
    <row r="143" spans="1:34" ht="12.75">
      <c r="A143" s="207"/>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c r="AF143" s="218"/>
      <c r="AG143" s="218"/>
      <c r="AH143" s="218"/>
    </row>
    <row r="144" spans="1:34" ht="12.75">
      <c r="A144" s="207"/>
      <c r="AH144" s="218"/>
    </row>
    <row r="145" spans="1:34" ht="12.75">
      <c r="A145" s="207"/>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row>
    <row r="146" spans="1:34" ht="12.75">
      <c r="A146" s="207"/>
      <c r="AH146" s="218"/>
    </row>
    <row r="147" spans="1:34" ht="12.75">
      <c r="A147" s="207"/>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row>
    <row r="148" spans="1:34" ht="12.75">
      <c r="A148" s="207"/>
      <c r="AH148" s="218"/>
    </row>
    <row r="149" spans="1:34" ht="12.75">
      <c r="A149" s="207"/>
      <c r="C149" s="207"/>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row>
    <row r="150" spans="1:34" ht="12.75">
      <c r="A150" s="207"/>
      <c r="C150" s="207"/>
      <c r="AH150" s="218"/>
    </row>
    <row r="151" spans="1:33" ht="12.75">
      <c r="A151" s="207"/>
      <c r="C151" s="207"/>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row>
    <row r="152" spans="1:3" ht="12.75">
      <c r="A152" s="207"/>
      <c r="C152" s="207"/>
    </row>
    <row r="153" spans="1:34" ht="12.75">
      <c r="A153" s="207"/>
      <c r="C153" s="207"/>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row>
    <row r="154" spans="1:3" ht="12.75">
      <c r="A154" s="207"/>
      <c r="C154" s="207"/>
    </row>
    <row r="155" spans="1:34" ht="12.75">
      <c r="A155" s="207"/>
      <c r="C155" s="207"/>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row>
    <row r="156" spans="1:3" ht="12.75">
      <c r="A156" s="207"/>
      <c r="C156" s="207"/>
    </row>
    <row r="157" spans="1:34" ht="12.75">
      <c r="A157" s="207"/>
      <c r="C157" s="207"/>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row>
    <row r="158" spans="1:3" ht="12.75">
      <c r="A158" s="207"/>
      <c r="C158" s="207"/>
    </row>
    <row r="159" spans="1:34" ht="12.75">
      <c r="A159" s="207"/>
      <c r="C159" s="207"/>
      <c r="AH159" s="218"/>
    </row>
    <row r="160" spans="1:3" ht="12.75">
      <c r="A160" s="207"/>
      <c r="C160" s="207"/>
    </row>
    <row r="161" spans="1:34" ht="12.75">
      <c r="A161" s="207"/>
      <c r="C161" s="207"/>
      <c r="AH161" s="218"/>
    </row>
    <row r="162" spans="1:3" ht="12.75">
      <c r="A162" s="207"/>
      <c r="C162" s="207"/>
    </row>
    <row r="163" spans="1:34" ht="12.75">
      <c r="A163" s="207"/>
      <c r="C163" s="207"/>
      <c r="AH163" s="218"/>
    </row>
    <row r="164" spans="1:3" ht="12.75">
      <c r="A164" s="207"/>
      <c r="C164" s="207"/>
    </row>
    <row r="165" spans="1:34" ht="12.75">
      <c r="A165" s="207"/>
      <c r="C165" s="207"/>
      <c r="AH165" s="218"/>
    </row>
    <row r="166" spans="1:3" ht="12.75">
      <c r="A166" s="207"/>
      <c r="C166" s="207"/>
    </row>
    <row r="167" spans="1:34" ht="12.75">
      <c r="A167" s="207"/>
      <c r="C167" s="207"/>
      <c r="AH167" s="218"/>
    </row>
    <row r="168" spans="1:3" ht="12.75">
      <c r="A168" s="207"/>
      <c r="C168" s="207"/>
    </row>
    <row r="169" spans="1:34" ht="12.75">
      <c r="A169" s="207"/>
      <c r="C169" s="207"/>
      <c r="AH169" s="218"/>
    </row>
    <row r="170" spans="1:3" ht="12.75">
      <c r="A170" s="207"/>
      <c r="C170" s="207"/>
    </row>
    <row r="171" spans="1:34" ht="12.75">
      <c r="A171" s="207"/>
      <c r="C171" s="207"/>
      <c r="AH171" s="218"/>
    </row>
    <row r="172" spans="1:3" ht="12.75">
      <c r="A172" s="207"/>
      <c r="C172" s="207"/>
    </row>
    <row r="173" spans="1:34" ht="12.75">
      <c r="A173" s="207"/>
      <c r="C173" s="207"/>
      <c r="AH173" s="218"/>
    </row>
    <row r="174" spans="1:3" ht="12.75">
      <c r="A174" s="207"/>
      <c r="C174" s="207"/>
    </row>
    <row r="175" spans="1:3" ht="12.75">
      <c r="A175" s="207"/>
      <c r="C175" s="207"/>
    </row>
    <row r="176" spans="1:3" ht="12.75">
      <c r="A176" s="207"/>
      <c r="C176" s="207"/>
    </row>
    <row r="177" spans="1:3" ht="12.75">
      <c r="A177" s="207"/>
      <c r="C177" s="207"/>
    </row>
    <row r="178" spans="1:7" ht="14.25">
      <c r="A178" s="207"/>
      <c r="C178" s="207"/>
      <c r="G178" s="213"/>
    </row>
    <row r="179" spans="1:7" ht="14.25">
      <c r="A179" s="207"/>
      <c r="C179" s="207"/>
      <c r="G179" s="213"/>
    </row>
    <row r="180" spans="1:7" ht="14.25">
      <c r="A180" s="207"/>
      <c r="C180" s="207"/>
      <c r="G180" s="213"/>
    </row>
    <row r="181" spans="1:7" ht="14.25">
      <c r="A181" s="207"/>
      <c r="C181" s="207"/>
      <c r="G181" s="213"/>
    </row>
    <row r="182" spans="1:7" ht="14.25">
      <c r="A182" s="207"/>
      <c r="C182" s="207"/>
      <c r="G182" s="213"/>
    </row>
    <row r="183" spans="1:7" ht="14.25">
      <c r="A183" s="207"/>
      <c r="C183" s="207"/>
      <c r="G183" s="213"/>
    </row>
    <row r="184" spans="1:7" ht="14.25">
      <c r="A184" s="207"/>
      <c r="C184" s="207"/>
      <c r="G184" s="213"/>
    </row>
    <row r="185" spans="1:3" ht="12.75">
      <c r="A185" s="207"/>
      <c r="C185" s="207"/>
    </row>
    <row r="186" spans="1:3" ht="12.75">
      <c r="A186" s="207"/>
      <c r="C186" s="207"/>
    </row>
    <row r="187" spans="1:3" ht="12.75">
      <c r="A187" s="207"/>
      <c r="C187" s="207"/>
    </row>
    <row r="188" spans="1:3" ht="12.75">
      <c r="A188" s="207"/>
      <c r="C188" s="207"/>
    </row>
    <row r="189" spans="1:3" ht="12.75">
      <c r="A189" s="207"/>
      <c r="C189" s="207"/>
    </row>
    <row r="190" spans="1:3" ht="12.75">
      <c r="A190" s="207"/>
      <c r="C190" s="207"/>
    </row>
    <row r="191" spans="1:3" ht="12.75">
      <c r="A191" s="207"/>
      <c r="C191" s="207"/>
    </row>
    <row r="192" spans="1:3" ht="12.75">
      <c r="A192" s="207"/>
      <c r="C192" s="207"/>
    </row>
    <row r="193" spans="1:3" ht="12.75">
      <c r="A193" s="207"/>
      <c r="C193" s="207"/>
    </row>
    <row r="194" spans="1:3" ht="12.75">
      <c r="A194" s="207"/>
      <c r="C194" s="207"/>
    </row>
    <row r="195" spans="1:3" ht="12.75">
      <c r="A195" s="207"/>
      <c r="C195" s="207"/>
    </row>
    <row r="196" spans="1:3" ht="12.75">
      <c r="A196" s="207"/>
      <c r="C196" s="207"/>
    </row>
    <row r="197" spans="1:3" ht="12.75">
      <c r="A197" s="207"/>
      <c r="C197" s="207"/>
    </row>
    <row r="198" spans="1:3" ht="12.75">
      <c r="A198" s="207"/>
      <c r="C198" s="207"/>
    </row>
    <row r="199" spans="1:3" ht="12.75">
      <c r="A199" s="207"/>
      <c r="C199" s="207"/>
    </row>
    <row r="200" spans="1:3" ht="12.75">
      <c r="A200" s="207"/>
      <c r="C200" s="207"/>
    </row>
    <row r="201" spans="1:3" ht="12.75">
      <c r="A201" s="207"/>
      <c r="C201" s="207"/>
    </row>
    <row r="202" spans="1:24" ht="12.75">
      <c r="A202" s="207"/>
      <c r="C202" s="207"/>
      <c r="G202" s="809"/>
      <c r="H202" s="809"/>
      <c r="I202" s="809"/>
      <c r="J202" s="809"/>
      <c r="K202" s="809"/>
      <c r="L202" s="809"/>
      <c r="M202" s="809"/>
      <c r="N202" s="809"/>
      <c r="O202" s="809"/>
      <c r="P202" s="809"/>
      <c r="Q202" s="809"/>
      <c r="R202" s="809"/>
      <c r="S202" s="809"/>
      <c r="T202" s="809"/>
      <c r="U202" s="809"/>
      <c r="V202" s="809"/>
      <c r="W202" s="809"/>
      <c r="X202" s="809"/>
    </row>
    <row r="203" spans="1:24" ht="12.75">
      <c r="A203" s="207"/>
      <c r="C203" s="207"/>
      <c r="G203" s="809"/>
      <c r="H203" s="809"/>
      <c r="I203" s="809"/>
      <c r="J203" s="809"/>
      <c r="K203" s="809"/>
      <c r="L203" s="809"/>
      <c r="M203" s="809"/>
      <c r="N203" s="809"/>
      <c r="O203" s="809"/>
      <c r="P203" s="809"/>
      <c r="Q203" s="809"/>
      <c r="R203" s="809"/>
      <c r="S203" s="809"/>
      <c r="T203" s="809"/>
      <c r="U203" s="809"/>
      <c r="V203" s="809"/>
      <c r="W203" s="809"/>
      <c r="X203" s="809"/>
    </row>
    <row r="204" spans="1:24" ht="12.75">
      <c r="A204" s="207"/>
      <c r="C204" s="207"/>
      <c r="G204" s="809"/>
      <c r="H204" s="809"/>
      <c r="I204" s="809"/>
      <c r="J204" s="809"/>
      <c r="K204" s="809"/>
      <c r="L204" s="809"/>
      <c r="M204" s="809"/>
      <c r="N204" s="809"/>
      <c r="O204" s="809"/>
      <c r="P204" s="809"/>
      <c r="Q204" s="809"/>
      <c r="R204" s="809"/>
      <c r="S204" s="809"/>
      <c r="T204" s="809"/>
      <c r="U204" s="809"/>
      <c r="V204" s="809"/>
      <c r="W204" s="809"/>
      <c r="X204" s="809"/>
    </row>
    <row r="205" spans="1:24" ht="12.75">
      <c r="A205" s="207"/>
      <c r="C205" s="207"/>
      <c r="G205" s="809"/>
      <c r="H205" s="809"/>
      <c r="I205" s="809"/>
      <c r="J205" s="809"/>
      <c r="K205" s="809"/>
      <c r="L205" s="809"/>
      <c r="M205" s="809"/>
      <c r="N205" s="809"/>
      <c r="O205" s="809"/>
      <c r="P205" s="809"/>
      <c r="Q205" s="809"/>
      <c r="R205" s="809"/>
      <c r="S205" s="809"/>
      <c r="T205" s="809"/>
      <c r="U205" s="809"/>
      <c r="V205" s="809"/>
      <c r="W205" s="809"/>
      <c r="X205" s="809"/>
    </row>
    <row r="206" spans="1:3" ht="12.75">
      <c r="A206" s="207"/>
      <c r="C206" s="207"/>
    </row>
    <row r="207" spans="1:3" ht="12.75">
      <c r="A207" s="207"/>
      <c r="C207" s="207"/>
    </row>
    <row r="208" spans="1:3" ht="12.75">
      <c r="A208" s="207"/>
      <c r="C208" s="207"/>
    </row>
    <row r="209" spans="1:3" ht="12.75">
      <c r="A209" s="207"/>
      <c r="C209" s="207"/>
    </row>
    <row r="210" spans="1:3" ht="12.75">
      <c r="A210" s="207"/>
      <c r="C210" s="207"/>
    </row>
    <row r="211" spans="1:3" ht="12.75">
      <c r="A211" s="207"/>
      <c r="C211" s="207"/>
    </row>
    <row r="212" spans="1:3" ht="12.75">
      <c r="A212" s="207"/>
      <c r="C212" s="207"/>
    </row>
    <row r="213" spans="1:3" ht="12.75">
      <c r="A213" s="207"/>
      <c r="C213" s="207"/>
    </row>
    <row r="214" ht="12.75">
      <c r="A214" s="207"/>
    </row>
    <row r="215" ht="12.75">
      <c r="A215" s="207"/>
    </row>
    <row r="216" ht="12.75">
      <c r="A216" s="207"/>
    </row>
    <row r="217" ht="12.75">
      <c r="A217" s="207"/>
    </row>
    <row r="218" ht="12.75">
      <c r="A218" s="207"/>
    </row>
    <row r="219" ht="12.75">
      <c r="A219" s="207"/>
    </row>
    <row r="220" ht="12.75">
      <c r="A220" s="207"/>
    </row>
    <row r="221" ht="12.75">
      <c r="A221" s="207"/>
    </row>
    <row r="222" ht="12.75">
      <c r="A222" s="207"/>
    </row>
    <row r="223" ht="12.75">
      <c r="A223" s="207"/>
    </row>
    <row r="224" ht="12.75">
      <c r="A224" s="207"/>
    </row>
    <row r="225" ht="12.75">
      <c r="A225" s="207"/>
    </row>
    <row r="226" ht="12.75">
      <c r="A226" s="207"/>
    </row>
    <row r="227" ht="12.75">
      <c r="A227" s="207"/>
    </row>
    <row r="228" ht="12.75">
      <c r="A228" s="207"/>
    </row>
    <row r="229" ht="12.75">
      <c r="A229" s="207"/>
    </row>
    <row r="230" ht="12.75">
      <c r="A230" s="207"/>
    </row>
    <row r="231" ht="12.75">
      <c r="A231" s="207"/>
    </row>
    <row r="232" ht="12.75">
      <c r="A232" s="207"/>
    </row>
    <row r="233" ht="12.75">
      <c r="A233" s="207"/>
    </row>
    <row r="234" ht="12.75">
      <c r="A234" s="207"/>
    </row>
    <row r="235" ht="12.75">
      <c r="A235" s="207"/>
    </row>
    <row r="236" ht="12.75">
      <c r="A236" s="207"/>
    </row>
    <row r="237" ht="12.75">
      <c r="A237" s="207"/>
    </row>
    <row r="238" ht="12.75">
      <c r="A238" s="207"/>
    </row>
    <row r="239" ht="12.75">
      <c r="A239" s="207"/>
    </row>
    <row r="240" ht="12.75">
      <c r="A240" s="207"/>
    </row>
    <row r="241" ht="12.75">
      <c r="A241" s="207"/>
    </row>
    <row r="242" ht="12.75">
      <c r="A242" s="207"/>
    </row>
    <row r="243" ht="12.75">
      <c r="A243" s="207"/>
    </row>
    <row r="244" ht="12.75">
      <c r="A244" s="207"/>
    </row>
    <row r="245" ht="12.75">
      <c r="A245" s="207"/>
    </row>
    <row r="246" ht="12.75">
      <c r="A246" s="207"/>
    </row>
    <row r="247" ht="12.75">
      <c r="A247" s="207"/>
    </row>
    <row r="248" ht="12.75">
      <c r="A248" s="207"/>
    </row>
    <row r="249" ht="12.75">
      <c r="A249" s="207"/>
    </row>
    <row r="250" ht="12.75">
      <c r="A250" s="207"/>
    </row>
    <row r="251" ht="12.75">
      <c r="A251" s="207"/>
    </row>
    <row r="252" ht="12.75">
      <c r="A252" s="207"/>
    </row>
    <row r="253" ht="12.75">
      <c r="A253" s="207"/>
    </row>
    <row r="290" spans="1:44" s="214" customFormat="1" ht="24.75" customHeight="1">
      <c r="A290" s="220" t="s">
        <v>28</v>
      </c>
      <c r="B290" s="214">
        <v>2010</v>
      </c>
      <c r="C290" s="214" t="str">
        <f>CONCATENATE(A290,",",B290)</f>
        <v>January,2010</v>
      </c>
      <c r="D290" s="221">
        <v>1</v>
      </c>
      <c r="AH290" s="216"/>
      <c r="AI290" s="216"/>
      <c r="AJ290" s="216"/>
      <c r="AK290" s="216"/>
      <c r="AL290" s="216"/>
      <c r="AM290" s="216"/>
      <c r="AN290" s="216"/>
      <c r="AO290" s="216"/>
      <c r="AP290" s="216"/>
      <c r="AQ290" s="216"/>
      <c r="AR290" s="216"/>
    </row>
    <row r="291" spans="1:115" s="214" customFormat="1" ht="24.75" customHeight="1">
      <c r="A291" s="220" t="s">
        <v>29</v>
      </c>
      <c r="B291" s="214">
        <v>2010</v>
      </c>
      <c r="C291" s="214" t="str">
        <f aca="true" t="shared" si="12" ref="C291:C349">CONCATENATE(A291,",",B291)</f>
        <v>February,2010</v>
      </c>
      <c r="D291" s="221">
        <v>2</v>
      </c>
      <c r="H291" s="215"/>
      <c r="I291" s="215"/>
      <c r="J291" s="215"/>
      <c r="K291" s="215"/>
      <c r="L291" s="215"/>
      <c r="M291" s="215"/>
      <c r="N291" s="215"/>
      <c r="O291" s="215"/>
      <c r="P291" s="215"/>
      <c r="Q291" s="215"/>
      <c r="R291" s="215"/>
      <c r="S291" s="215"/>
      <c r="T291" s="215"/>
      <c r="U291" s="215"/>
      <c r="V291" s="215"/>
      <c r="W291" s="215"/>
      <c r="X291" s="215"/>
      <c r="Y291" s="215"/>
      <c r="Z291" s="215"/>
      <c r="AA291" s="215"/>
      <c r="AB291" s="215"/>
      <c r="AC291" s="215"/>
      <c r="AD291" s="215"/>
      <c r="AE291" s="215"/>
      <c r="AF291" s="215"/>
      <c r="AG291" s="215"/>
      <c r="AH291" s="216"/>
      <c r="AI291" s="216"/>
      <c r="AJ291" s="216"/>
      <c r="AK291" s="216"/>
      <c r="AL291" s="216"/>
      <c r="AM291" s="216"/>
      <c r="AN291" s="216"/>
      <c r="AO291" s="216"/>
      <c r="AP291" s="216"/>
      <c r="AQ291" s="216"/>
      <c r="AR291" s="216"/>
      <c r="AS291" s="215"/>
      <c r="AT291" s="215"/>
      <c r="AU291" s="215"/>
      <c r="AV291" s="215"/>
      <c r="AW291" s="215"/>
      <c r="AX291" s="215"/>
      <c r="AY291" s="215"/>
      <c r="AZ291" s="215"/>
      <c r="BA291" s="215"/>
      <c r="BB291" s="215"/>
      <c r="BC291" s="215"/>
      <c r="BD291" s="215"/>
      <c r="BE291" s="215"/>
      <c r="BF291" s="215"/>
      <c r="BG291" s="215"/>
      <c r="BH291" s="215"/>
      <c r="BI291" s="215"/>
      <c r="BJ291" s="215"/>
      <c r="BK291" s="215"/>
      <c r="BL291" s="215"/>
      <c r="BM291" s="215"/>
      <c r="BN291" s="215"/>
      <c r="BO291" s="215"/>
      <c r="BP291" s="215"/>
      <c r="BQ291" s="215"/>
      <c r="BR291" s="215"/>
      <c r="BS291" s="215"/>
      <c r="BT291" s="215"/>
      <c r="BU291" s="215"/>
      <c r="BV291" s="215"/>
      <c r="BW291" s="215"/>
      <c r="BX291" s="215"/>
      <c r="BY291" s="215"/>
      <c r="BZ291" s="215"/>
      <c r="CA291" s="215"/>
      <c r="CB291" s="215"/>
      <c r="CC291" s="215"/>
      <c r="CD291" s="215"/>
      <c r="CE291" s="215"/>
      <c r="CF291" s="215"/>
      <c r="CG291" s="215"/>
      <c r="CH291" s="215"/>
      <c r="CI291" s="215"/>
      <c r="CJ291" s="215"/>
      <c r="CK291" s="215"/>
      <c r="CL291" s="215"/>
      <c r="CM291" s="215"/>
      <c r="CN291" s="215"/>
      <c r="CO291" s="215"/>
      <c r="CP291" s="215"/>
      <c r="CQ291" s="215"/>
      <c r="CR291" s="215"/>
      <c r="CS291" s="215"/>
      <c r="CT291" s="215"/>
      <c r="CU291" s="215"/>
      <c r="CV291" s="215"/>
      <c r="CW291" s="215"/>
      <c r="CX291" s="215"/>
      <c r="CY291" s="215"/>
      <c r="CZ291" s="215"/>
      <c r="DA291" s="215"/>
      <c r="DB291" s="215"/>
      <c r="DC291" s="215"/>
      <c r="DD291" s="215"/>
      <c r="DE291" s="215"/>
      <c r="DF291" s="215"/>
      <c r="DG291" s="215"/>
      <c r="DH291" s="215"/>
      <c r="DI291" s="215"/>
      <c r="DJ291" s="215"/>
      <c r="DK291" s="215"/>
    </row>
    <row r="292" spans="1:44" s="214" customFormat="1" ht="24.75" customHeight="1">
      <c r="A292" s="220" t="s">
        <v>30</v>
      </c>
      <c r="B292" s="214">
        <v>2010</v>
      </c>
      <c r="C292" s="214" t="str">
        <f t="shared" si="12"/>
        <v>March,2010</v>
      </c>
      <c r="D292" s="221">
        <v>3</v>
      </c>
      <c r="AH292" s="216"/>
      <c r="AI292" s="216"/>
      <c r="AJ292" s="216"/>
      <c r="AK292" s="216"/>
      <c r="AL292" s="216"/>
      <c r="AM292" s="216"/>
      <c r="AN292" s="216"/>
      <c r="AO292" s="216"/>
      <c r="AP292" s="216"/>
      <c r="AQ292" s="216"/>
      <c r="AR292" s="216"/>
    </row>
    <row r="293" spans="1:44" s="214" customFormat="1" ht="24.75" customHeight="1">
      <c r="A293" s="220" t="s">
        <v>31</v>
      </c>
      <c r="B293" s="214">
        <v>2010</v>
      </c>
      <c r="C293" s="214" t="str">
        <f t="shared" si="12"/>
        <v>April,2010</v>
      </c>
      <c r="D293" s="221">
        <v>4</v>
      </c>
      <c r="AH293" s="216"/>
      <c r="AI293" s="216"/>
      <c r="AJ293" s="216"/>
      <c r="AK293" s="216"/>
      <c r="AL293" s="216"/>
      <c r="AM293" s="216"/>
      <c r="AN293" s="216"/>
      <c r="AO293" s="216"/>
      <c r="AP293" s="216"/>
      <c r="AQ293" s="216"/>
      <c r="AR293" s="216"/>
    </row>
    <row r="294" spans="1:44" s="214" customFormat="1" ht="24.75" customHeight="1">
      <c r="A294" s="220" t="s">
        <v>32</v>
      </c>
      <c r="B294" s="214">
        <v>2010</v>
      </c>
      <c r="C294" s="214" t="str">
        <f t="shared" si="12"/>
        <v>May,2010</v>
      </c>
      <c r="D294" s="221">
        <v>5</v>
      </c>
      <c r="Y294" s="810"/>
      <c r="Z294" s="810"/>
      <c r="AH294" s="216"/>
      <c r="AI294" s="216"/>
      <c r="AJ294" s="216"/>
      <c r="AK294" s="216"/>
      <c r="AL294" s="216"/>
      <c r="AM294" s="216"/>
      <c r="AN294" s="216"/>
      <c r="AO294" s="216"/>
      <c r="AP294" s="216"/>
      <c r="AQ294" s="216"/>
      <c r="AR294" s="216"/>
    </row>
    <row r="295" spans="1:44" s="214" customFormat="1" ht="24.75" customHeight="1">
      <c r="A295" s="220" t="s">
        <v>33</v>
      </c>
      <c r="B295" s="214">
        <v>2010</v>
      </c>
      <c r="C295" s="214" t="str">
        <f t="shared" si="12"/>
        <v>June,2010</v>
      </c>
      <c r="D295" s="221">
        <v>6</v>
      </c>
      <c r="Y295" s="806"/>
      <c r="Z295" s="806"/>
      <c r="AH295" s="216"/>
      <c r="AI295" s="216"/>
      <c r="AJ295" s="216"/>
      <c r="AK295" s="216"/>
      <c r="AL295" s="216"/>
      <c r="AM295" s="216"/>
      <c r="AN295" s="216"/>
      <c r="AO295" s="216"/>
      <c r="AP295" s="216"/>
      <c r="AQ295" s="216"/>
      <c r="AR295" s="216"/>
    </row>
    <row r="296" spans="1:44" s="214" customFormat="1" ht="17.25" customHeight="1">
      <c r="A296" s="220" t="s">
        <v>34</v>
      </c>
      <c r="B296" s="214">
        <v>2010</v>
      </c>
      <c r="C296" s="214" t="str">
        <f t="shared" si="12"/>
        <v>July,2010</v>
      </c>
      <c r="D296" s="221">
        <v>7</v>
      </c>
      <c r="Y296" s="805"/>
      <c r="Z296" s="805"/>
      <c r="AH296" s="216"/>
      <c r="AI296" s="216"/>
      <c r="AJ296" s="216"/>
      <c r="AK296" s="216"/>
      <c r="AL296" s="216"/>
      <c r="AM296" s="216"/>
      <c r="AN296" s="216"/>
      <c r="AO296" s="216"/>
      <c r="AP296" s="216"/>
      <c r="AQ296" s="216"/>
      <c r="AR296" s="216"/>
    </row>
    <row r="297" spans="1:44" s="214" customFormat="1" ht="17.25" customHeight="1">
      <c r="A297" s="220" t="s">
        <v>35</v>
      </c>
      <c r="B297" s="214">
        <v>2010</v>
      </c>
      <c r="C297" s="214" t="str">
        <f t="shared" si="12"/>
        <v>August,2010</v>
      </c>
      <c r="D297" s="221">
        <v>8</v>
      </c>
      <c r="Y297" s="806"/>
      <c r="Z297" s="807"/>
      <c r="AH297" s="216"/>
      <c r="AI297" s="216"/>
      <c r="AJ297" s="216"/>
      <c r="AK297" s="216"/>
      <c r="AL297" s="216"/>
      <c r="AM297" s="216"/>
      <c r="AN297" s="216"/>
      <c r="AO297" s="216"/>
      <c r="AP297" s="216"/>
      <c r="AQ297" s="216"/>
      <c r="AR297" s="216"/>
    </row>
    <row r="298" spans="1:44" s="214" customFormat="1" ht="29.25" customHeight="1">
      <c r="A298" s="220" t="s">
        <v>36</v>
      </c>
      <c r="B298" s="214">
        <v>2010</v>
      </c>
      <c r="C298" s="214" t="str">
        <f t="shared" si="12"/>
        <v>September,2010</v>
      </c>
      <c r="D298" s="221">
        <v>9</v>
      </c>
      <c r="AH298" s="216"/>
      <c r="AI298" s="216"/>
      <c r="AJ298" s="216"/>
      <c r="AK298" s="216"/>
      <c r="AL298" s="216"/>
      <c r="AM298" s="216"/>
      <c r="AN298" s="216"/>
      <c r="AO298" s="216"/>
      <c r="AP298" s="216"/>
      <c r="AQ298" s="216"/>
      <c r="AR298" s="216"/>
    </row>
    <row r="299" spans="1:44" s="214" customFormat="1" ht="15" customHeight="1">
      <c r="A299" s="220" t="s">
        <v>37</v>
      </c>
      <c r="B299" s="214">
        <v>2010</v>
      </c>
      <c r="C299" s="214" t="str">
        <f t="shared" si="12"/>
        <v>October,2010</v>
      </c>
      <c r="D299" s="221">
        <v>10</v>
      </c>
      <c r="AH299" s="216"/>
      <c r="AI299" s="216"/>
      <c r="AJ299" s="216"/>
      <c r="AK299" s="216"/>
      <c r="AL299" s="216"/>
      <c r="AM299" s="216"/>
      <c r="AN299" s="216"/>
      <c r="AO299" s="216"/>
      <c r="AP299" s="216"/>
      <c r="AQ299" s="216"/>
      <c r="AR299" s="216"/>
    </row>
    <row r="300" spans="1:44" s="214" customFormat="1" ht="15" customHeight="1">
      <c r="A300" s="220" t="s">
        <v>38</v>
      </c>
      <c r="B300" s="214">
        <v>2010</v>
      </c>
      <c r="C300" s="214" t="str">
        <f t="shared" si="12"/>
        <v>November,2010</v>
      </c>
      <c r="D300" s="221">
        <v>11</v>
      </c>
      <c r="AH300" s="216"/>
      <c r="AI300" s="216"/>
      <c r="AJ300" s="216"/>
      <c r="AK300" s="216"/>
      <c r="AL300" s="216"/>
      <c r="AM300" s="216"/>
      <c r="AN300" s="216"/>
      <c r="AO300" s="216"/>
      <c r="AP300" s="216"/>
      <c r="AQ300" s="216"/>
      <c r="AR300" s="216"/>
    </row>
    <row r="301" spans="1:44" s="214" customFormat="1" ht="15" customHeight="1">
      <c r="A301" s="220" t="s">
        <v>39</v>
      </c>
      <c r="B301" s="214">
        <v>2010</v>
      </c>
      <c r="C301" s="214" t="str">
        <f t="shared" si="12"/>
        <v>December,2010</v>
      </c>
      <c r="D301" s="221">
        <v>12</v>
      </c>
      <c r="AH301" s="216"/>
      <c r="AI301" s="216"/>
      <c r="AJ301" s="216"/>
      <c r="AK301" s="216"/>
      <c r="AL301" s="216"/>
      <c r="AM301" s="216"/>
      <c r="AN301" s="216"/>
      <c r="AO301" s="216"/>
      <c r="AP301" s="216"/>
      <c r="AQ301" s="216"/>
      <c r="AR301" s="216"/>
    </row>
    <row r="302" spans="1:44" s="214" customFormat="1" ht="15" customHeight="1">
      <c r="A302" s="220" t="s">
        <v>28</v>
      </c>
      <c r="B302" s="214">
        <v>2011</v>
      </c>
      <c r="C302" s="214" t="str">
        <f t="shared" si="12"/>
        <v>January,2011</v>
      </c>
      <c r="D302" s="221">
        <v>13</v>
      </c>
      <c r="AH302" s="216"/>
      <c r="AI302" s="216"/>
      <c r="AJ302" s="216"/>
      <c r="AK302" s="216"/>
      <c r="AL302" s="216"/>
      <c r="AM302" s="216"/>
      <c r="AN302" s="216"/>
      <c r="AO302" s="216"/>
      <c r="AP302" s="216"/>
      <c r="AQ302" s="216"/>
      <c r="AR302" s="216"/>
    </row>
    <row r="303" spans="1:44" s="214" customFormat="1" ht="27.75" customHeight="1">
      <c r="A303" s="220" t="s">
        <v>29</v>
      </c>
      <c r="B303" s="214">
        <v>2011</v>
      </c>
      <c r="C303" s="214" t="str">
        <f t="shared" si="12"/>
        <v>February,2011</v>
      </c>
      <c r="D303" s="221">
        <v>14</v>
      </c>
      <c r="E303" s="215"/>
      <c r="F303" s="215"/>
      <c r="G303" s="215"/>
      <c r="H303" s="215"/>
      <c r="I303" s="215"/>
      <c r="J303" s="215"/>
      <c r="K303" s="215"/>
      <c r="L303" s="215"/>
      <c r="M303" s="215"/>
      <c r="N303" s="215"/>
      <c r="O303" s="215"/>
      <c r="P303" s="215"/>
      <c r="Q303" s="215"/>
      <c r="R303" s="215"/>
      <c r="S303" s="215"/>
      <c r="T303" s="215"/>
      <c r="U303" s="215"/>
      <c r="V303" s="215"/>
      <c r="W303" s="215"/>
      <c r="X303" s="215"/>
      <c r="AH303" s="216"/>
      <c r="AI303" s="216"/>
      <c r="AJ303" s="216"/>
      <c r="AK303" s="216"/>
      <c r="AL303" s="216"/>
      <c r="AM303" s="216"/>
      <c r="AN303" s="216"/>
      <c r="AO303" s="216"/>
      <c r="AP303" s="216"/>
      <c r="AQ303" s="216"/>
      <c r="AR303" s="216"/>
    </row>
    <row r="304" spans="1:44" s="214" customFormat="1" ht="34.5" customHeight="1">
      <c r="A304" s="220" t="s">
        <v>30</v>
      </c>
      <c r="B304" s="214">
        <v>2011</v>
      </c>
      <c r="C304" s="214" t="str">
        <f t="shared" si="12"/>
        <v>March,2011</v>
      </c>
      <c r="D304" s="221">
        <v>15</v>
      </c>
      <c r="X304" s="132"/>
      <c r="AH304" s="216"/>
      <c r="AI304" s="216"/>
      <c r="AJ304" s="216"/>
      <c r="AL304" s="216"/>
      <c r="AM304" s="216"/>
      <c r="AN304" s="216"/>
      <c r="AP304" s="216"/>
      <c r="AQ304" s="216"/>
      <c r="AR304" s="216"/>
    </row>
    <row r="305" spans="1:44" s="214" customFormat="1" ht="34.5" customHeight="1">
      <c r="A305" s="220" t="s">
        <v>31</v>
      </c>
      <c r="B305" s="214">
        <v>2011</v>
      </c>
      <c r="C305" s="214" t="str">
        <f t="shared" si="12"/>
        <v>April,2011</v>
      </c>
      <c r="D305" s="221">
        <v>16</v>
      </c>
      <c r="X305" s="132"/>
      <c r="AH305" s="216"/>
      <c r="AI305" s="216"/>
      <c r="AJ305" s="216"/>
      <c r="AK305" s="215"/>
      <c r="AL305" s="216"/>
      <c r="AM305" s="216"/>
      <c r="AN305" s="216"/>
      <c r="AO305" s="215"/>
      <c r="AP305" s="216"/>
      <c r="AQ305" s="216"/>
      <c r="AR305" s="216"/>
    </row>
    <row r="306" spans="1:44" ht="12.75">
      <c r="A306" s="220" t="s">
        <v>32</v>
      </c>
      <c r="B306" s="214">
        <v>2011</v>
      </c>
      <c r="C306" s="214" t="str">
        <f t="shared" si="12"/>
        <v>May,2011</v>
      </c>
      <c r="D306" s="221">
        <v>17</v>
      </c>
      <c r="AH306" s="214"/>
      <c r="AI306" s="214"/>
      <c r="AJ306" s="214"/>
      <c r="AK306" s="214"/>
      <c r="AL306" s="214"/>
      <c r="AM306" s="214"/>
      <c r="AN306" s="214"/>
      <c r="AO306" s="214"/>
      <c r="AP306" s="214"/>
      <c r="AQ306" s="214"/>
      <c r="AR306" s="214"/>
    </row>
    <row r="307" spans="1:44" ht="12.75">
      <c r="A307" s="220" t="s">
        <v>33</v>
      </c>
      <c r="B307" s="214">
        <v>2011</v>
      </c>
      <c r="C307" s="214" t="str">
        <f t="shared" si="12"/>
        <v>June,2011</v>
      </c>
      <c r="D307" s="221">
        <v>18</v>
      </c>
      <c r="AH307" s="215"/>
      <c r="AI307" s="215"/>
      <c r="AJ307" s="215"/>
      <c r="AK307" s="214"/>
      <c r="AL307" s="215"/>
      <c r="AM307" s="215"/>
      <c r="AN307" s="215"/>
      <c r="AO307" s="214"/>
      <c r="AP307" s="215"/>
      <c r="AQ307" s="215"/>
      <c r="AR307" s="215"/>
    </row>
    <row r="308" spans="1:44" ht="12.75">
      <c r="A308" s="220" t="s">
        <v>34</v>
      </c>
      <c r="B308" s="214">
        <v>2011</v>
      </c>
      <c r="C308" s="214" t="str">
        <f t="shared" si="12"/>
        <v>July,2011</v>
      </c>
      <c r="D308" s="221">
        <v>19</v>
      </c>
      <c r="AH308" s="214"/>
      <c r="AI308" s="214"/>
      <c r="AJ308" s="214"/>
      <c r="AK308" s="214"/>
      <c r="AL308" s="214"/>
      <c r="AM308" s="214"/>
      <c r="AN308" s="214"/>
      <c r="AO308" s="214"/>
      <c r="AP308" s="214"/>
      <c r="AQ308" s="214"/>
      <c r="AR308" s="214"/>
    </row>
    <row r="309" spans="1:44" ht="12.75">
      <c r="A309" s="220" t="s">
        <v>35</v>
      </c>
      <c r="B309" s="214">
        <v>2011</v>
      </c>
      <c r="C309" s="214" t="str">
        <f t="shared" si="12"/>
        <v>August,2011</v>
      </c>
      <c r="D309" s="221">
        <v>20</v>
      </c>
      <c r="AH309" s="214"/>
      <c r="AI309" s="214"/>
      <c r="AJ309" s="214"/>
      <c r="AK309" s="214"/>
      <c r="AL309" s="214"/>
      <c r="AM309" s="214"/>
      <c r="AN309" s="214"/>
      <c r="AO309" s="214"/>
      <c r="AP309" s="214"/>
      <c r="AQ309" s="214"/>
      <c r="AR309" s="214"/>
    </row>
    <row r="310" spans="1:44" ht="12.75">
      <c r="A310" s="220" t="s">
        <v>36</v>
      </c>
      <c r="B310" s="214">
        <v>2011</v>
      </c>
      <c r="C310" s="214" t="str">
        <f t="shared" si="12"/>
        <v>September,2011</v>
      </c>
      <c r="D310" s="221">
        <v>21</v>
      </c>
      <c r="AH310" s="214"/>
      <c r="AI310" s="214"/>
      <c r="AJ310" s="214"/>
      <c r="AK310" s="214"/>
      <c r="AL310" s="214"/>
      <c r="AM310" s="214"/>
      <c r="AN310" s="214"/>
      <c r="AO310" s="214"/>
      <c r="AP310" s="214"/>
      <c r="AQ310" s="214"/>
      <c r="AR310" s="214"/>
    </row>
    <row r="311" spans="1:44" ht="12.75">
      <c r="A311" s="220" t="s">
        <v>37</v>
      </c>
      <c r="B311" s="214">
        <v>2011</v>
      </c>
      <c r="C311" s="214" t="str">
        <f t="shared" si="12"/>
        <v>October,2011</v>
      </c>
      <c r="D311" s="221">
        <v>22</v>
      </c>
      <c r="AH311" s="214"/>
      <c r="AI311" s="214"/>
      <c r="AJ311" s="214"/>
      <c r="AK311" s="214"/>
      <c r="AL311" s="214"/>
      <c r="AM311" s="214"/>
      <c r="AN311" s="214"/>
      <c r="AO311" s="214"/>
      <c r="AP311" s="214"/>
      <c r="AQ311" s="214"/>
      <c r="AR311" s="214"/>
    </row>
    <row r="312" spans="1:44" ht="12.75">
      <c r="A312" s="220" t="s">
        <v>38</v>
      </c>
      <c r="B312" s="214">
        <v>2011</v>
      </c>
      <c r="C312" s="214" t="str">
        <f t="shared" si="12"/>
        <v>November,2011</v>
      </c>
      <c r="D312" s="221">
        <v>23</v>
      </c>
      <c r="AH312" s="214"/>
      <c r="AI312" s="214"/>
      <c r="AJ312" s="214"/>
      <c r="AK312" s="214"/>
      <c r="AL312" s="214"/>
      <c r="AM312" s="214"/>
      <c r="AN312" s="214"/>
      <c r="AO312" s="214"/>
      <c r="AP312" s="214"/>
      <c r="AQ312" s="214"/>
      <c r="AR312" s="214"/>
    </row>
    <row r="313" spans="1:44" ht="12.75">
      <c r="A313" s="220" t="s">
        <v>39</v>
      </c>
      <c r="B313" s="214">
        <v>2011</v>
      </c>
      <c r="C313" s="214" t="str">
        <f t="shared" si="12"/>
        <v>December,2011</v>
      </c>
      <c r="D313" s="221">
        <v>24</v>
      </c>
      <c r="AH313" s="214"/>
      <c r="AI313" s="214"/>
      <c r="AJ313" s="214"/>
      <c r="AK313" s="214"/>
      <c r="AL313" s="214"/>
      <c r="AM313" s="214"/>
      <c r="AN313" s="214"/>
      <c r="AO313" s="214"/>
      <c r="AP313" s="214"/>
      <c r="AQ313" s="214"/>
      <c r="AR313" s="214"/>
    </row>
    <row r="314" spans="1:44" ht="12.75">
      <c r="A314" s="220" t="s">
        <v>28</v>
      </c>
      <c r="B314" s="214">
        <v>2012</v>
      </c>
      <c r="C314" s="214" t="str">
        <f t="shared" si="12"/>
        <v>January,2012</v>
      </c>
      <c r="D314" s="221">
        <v>25</v>
      </c>
      <c r="AH314" s="214"/>
      <c r="AI314" s="214"/>
      <c r="AJ314" s="214"/>
      <c r="AK314" s="214"/>
      <c r="AL314" s="214"/>
      <c r="AM314" s="214"/>
      <c r="AN314" s="214"/>
      <c r="AO314" s="214"/>
      <c r="AP314" s="214"/>
      <c r="AQ314" s="214"/>
      <c r="AR314" s="214"/>
    </row>
    <row r="315" spans="1:44" ht="12.75">
      <c r="A315" s="220" t="s">
        <v>29</v>
      </c>
      <c r="B315" s="214">
        <v>2012</v>
      </c>
      <c r="C315" s="214" t="str">
        <f t="shared" si="12"/>
        <v>February,2012</v>
      </c>
      <c r="D315" s="221">
        <v>26</v>
      </c>
      <c r="AH315" s="214"/>
      <c r="AI315" s="214"/>
      <c r="AJ315" s="214"/>
      <c r="AK315" s="214"/>
      <c r="AL315" s="214"/>
      <c r="AM315" s="214"/>
      <c r="AN315" s="214"/>
      <c r="AO315" s="214"/>
      <c r="AP315" s="214"/>
      <c r="AQ315" s="214"/>
      <c r="AR315" s="214"/>
    </row>
    <row r="316" spans="1:44" ht="12.75">
      <c r="A316" s="220" t="s">
        <v>30</v>
      </c>
      <c r="B316" s="214">
        <v>2012</v>
      </c>
      <c r="C316" s="214" t="str">
        <f t="shared" si="12"/>
        <v>March,2012</v>
      </c>
      <c r="D316" s="221">
        <v>27</v>
      </c>
      <c r="AH316" s="214"/>
      <c r="AI316" s="214"/>
      <c r="AJ316" s="214"/>
      <c r="AK316" s="214"/>
      <c r="AL316" s="214"/>
      <c r="AM316" s="214"/>
      <c r="AN316" s="214"/>
      <c r="AO316" s="214"/>
      <c r="AP316" s="214"/>
      <c r="AQ316" s="214"/>
      <c r="AR316" s="214"/>
    </row>
    <row r="317" spans="1:44" ht="12.75">
      <c r="A317" s="220" t="s">
        <v>31</v>
      </c>
      <c r="B317" s="214">
        <v>2012</v>
      </c>
      <c r="C317" s="214" t="str">
        <f t="shared" si="12"/>
        <v>April,2012</v>
      </c>
      <c r="D317" s="221">
        <v>28</v>
      </c>
      <c r="AH317" s="214"/>
      <c r="AI317" s="214"/>
      <c r="AJ317" s="214"/>
      <c r="AK317" s="214"/>
      <c r="AL317" s="214"/>
      <c r="AM317" s="214"/>
      <c r="AN317" s="214"/>
      <c r="AO317" s="214"/>
      <c r="AP317" s="214"/>
      <c r="AQ317" s="214"/>
      <c r="AR317" s="214"/>
    </row>
    <row r="318" spans="1:44" ht="12.75">
      <c r="A318" s="220" t="s">
        <v>32</v>
      </c>
      <c r="B318" s="214">
        <v>2012</v>
      </c>
      <c r="C318" s="214" t="str">
        <f t="shared" si="12"/>
        <v>May,2012</v>
      </c>
      <c r="D318" s="221">
        <v>29</v>
      </c>
      <c r="AH318" s="214"/>
      <c r="AI318" s="214"/>
      <c r="AJ318" s="214"/>
      <c r="AK318" s="214"/>
      <c r="AL318" s="214"/>
      <c r="AM318" s="214"/>
      <c r="AN318" s="214"/>
      <c r="AO318" s="214"/>
      <c r="AP318" s="214"/>
      <c r="AQ318" s="214"/>
      <c r="AR318" s="214"/>
    </row>
    <row r="319" spans="1:44" ht="12.75">
      <c r="A319" s="220" t="s">
        <v>33</v>
      </c>
      <c r="B319" s="214">
        <v>2012</v>
      </c>
      <c r="C319" s="214" t="str">
        <f t="shared" si="12"/>
        <v>June,2012</v>
      </c>
      <c r="D319" s="221">
        <v>30</v>
      </c>
      <c r="AH319" s="214"/>
      <c r="AI319" s="214"/>
      <c r="AJ319" s="214"/>
      <c r="AK319" s="214"/>
      <c r="AL319" s="214"/>
      <c r="AM319" s="214"/>
      <c r="AN319" s="214"/>
      <c r="AO319" s="214"/>
      <c r="AP319" s="214"/>
      <c r="AQ319" s="214"/>
      <c r="AR319" s="214"/>
    </row>
    <row r="320" spans="1:44" ht="12.75">
      <c r="A320" s="220" t="s">
        <v>34</v>
      </c>
      <c r="B320" s="214">
        <v>2012</v>
      </c>
      <c r="C320" s="214" t="str">
        <f t="shared" si="12"/>
        <v>July,2012</v>
      </c>
      <c r="D320" s="221">
        <v>31</v>
      </c>
      <c r="AH320" s="214"/>
      <c r="AI320" s="214"/>
      <c r="AJ320" s="214"/>
      <c r="AL320" s="214"/>
      <c r="AM320" s="214"/>
      <c r="AN320" s="214"/>
      <c r="AP320" s="214"/>
      <c r="AQ320" s="214"/>
      <c r="AR320" s="214"/>
    </row>
    <row r="321" spans="1:44" ht="12.75">
      <c r="A321" s="220" t="s">
        <v>35</v>
      </c>
      <c r="B321" s="214">
        <v>2012</v>
      </c>
      <c r="C321" s="214" t="str">
        <f t="shared" si="12"/>
        <v>August,2012</v>
      </c>
      <c r="D321" s="221">
        <v>32</v>
      </c>
      <c r="AH321" s="214"/>
      <c r="AI321" s="214"/>
      <c r="AJ321" s="214"/>
      <c r="AL321" s="214"/>
      <c r="AM321" s="214"/>
      <c r="AN321" s="214"/>
      <c r="AP321" s="214"/>
      <c r="AQ321" s="214"/>
      <c r="AR321" s="214"/>
    </row>
    <row r="322" spans="1:4" ht="12.75">
      <c r="A322" s="220" t="s">
        <v>36</v>
      </c>
      <c r="B322" s="214">
        <v>2012</v>
      </c>
      <c r="C322" s="214" t="str">
        <f t="shared" si="12"/>
        <v>September,2012</v>
      </c>
      <c r="D322" s="221">
        <v>33</v>
      </c>
    </row>
    <row r="323" spans="1:4" ht="12.75">
      <c r="A323" s="220" t="s">
        <v>37</v>
      </c>
      <c r="B323" s="214">
        <v>2012</v>
      </c>
      <c r="C323" s="214" t="str">
        <f t="shared" si="12"/>
        <v>October,2012</v>
      </c>
      <c r="D323" s="221">
        <v>34</v>
      </c>
    </row>
    <row r="324" spans="1:4" ht="12.75">
      <c r="A324" s="220" t="s">
        <v>38</v>
      </c>
      <c r="B324" s="214">
        <v>2012</v>
      </c>
      <c r="C324" s="214" t="str">
        <f t="shared" si="12"/>
        <v>November,2012</v>
      </c>
      <c r="D324" s="221">
        <v>35</v>
      </c>
    </row>
    <row r="325" spans="1:4" ht="12.75">
      <c r="A325" s="220" t="s">
        <v>39</v>
      </c>
      <c r="B325" s="214">
        <v>2012</v>
      </c>
      <c r="C325" s="214" t="str">
        <f t="shared" si="12"/>
        <v>December,2012</v>
      </c>
      <c r="D325" s="221">
        <v>36</v>
      </c>
    </row>
    <row r="326" spans="1:4" ht="12.75">
      <c r="A326" s="220" t="s">
        <v>28</v>
      </c>
      <c r="B326" s="214">
        <v>2013</v>
      </c>
      <c r="C326" s="214" t="str">
        <f t="shared" si="12"/>
        <v>January,2013</v>
      </c>
      <c r="D326" s="221">
        <v>37</v>
      </c>
    </row>
    <row r="327" spans="1:4" ht="12.75">
      <c r="A327" s="220" t="s">
        <v>29</v>
      </c>
      <c r="B327" s="214">
        <v>2013</v>
      </c>
      <c r="C327" s="214" t="str">
        <f t="shared" si="12"/>
        <v>February,2013</v>
      </c>
      <c r="D327" s="221">
        <v>38</v>
      </c>
    </row>
    <row r="328" spans="1:4" ht="12.75">
      <c r="A328" s="220" t="s">
        <v>30</v>
      </c>
      <c r="B328" s="214">
        <v>2013</v>
      </c>
      <c r="C328" s="214" t="str">
        <f t="shared" si="12"/>
        <v>March,2013</v>
      </c>
      <c r="D328" s="221">
        <v>39</v>
      </c>
    </row>
    <row r="329" spans="1:4" ht="12.75">
      <c r="A329" s="220" t="s">
        <v>31</v>
      </c>
      <c r="B329" s="214">
        <v>2013</v>
      </c>
      <c r="C329" s="214" t="str">
        <f t="shared" si="12"/>
        <v>April,2013</v>
      </c>
      <c r="D329" s="221">
        <v>40</v>
      </c>
    </row>
    <row r="330" spans="1:4" ht="12.75">
      <c r="A330" s="220" t="s">
        <v>32</v>
      </c>
      <c r="B330" s="214">
        <v>2013</v>
      </c>
      <c r="C330" s="214" t="str">
        <f t="shared" si="12"/>
        <v>May,2013</v>
      </c>
      <c r="D330" s="221">
        <v>41</v>
      </c>
    </row>
    <row r="331" spans="1:4" ht="12.75">
      <c r="A331" s="220" t="s">
        <v>33</v>
      </c>
      <c r="B331" s="214">
        <v>2013</v>
      </c>
      <c r="C331" s="214" t="str">
        <f t="shared" si="12"/>
        <v>June,2013</v>
      </c>
      <c r="D331" s="221">
        <v>42</v>
      </c>
    </row>
    <row r="332" spans="1:4" ht="12.75">
      <c r="A332" s="220" t="s">
        <v>34</v>
      </c>
      <c r="B332" s="214">
        <v>2013</v>
      </c>
      <c r="C332" s="214" t="str">
        <f t="shared" si="12"/>
        <v>July,2013</v>
      </c>
      <c r="D332" s="221">
        <v>43</v>
      </c>
    </row>
    <row r="333" spans="1:4" ht="12.75">
      <c r="A333" s="220" t="s">
        <v>35</v>
      </c>
      <c r="B333" s="214">
        <v>2013</v>
      </c>
      <c r="C333" s="214" t="str">
        <f t="shared" si="12"/>
        <v>August,2013</v>
      </c>
      <c r="D333" s="221">
        <v>44</v>
      </c>
    </row>
    <row r="334" spans="1:4" ht="12.75">
      <c r="A334" s="220" t="s">
        <v>36</v>
      </c>
      <c r="B334" s="214">
        <v>2013</v>
      </c>
      <c r="C334" s="214" t="str">
        <f t="shared" si="12"/>
        <v>September,2013</v>
      </c>
      <c r="D334" s="221">
        <v>45</v>
      </c>
    </row>
    <row r="335" spans="1:4" ht="12.75">
      <c r="A335" s="220" t="s">
        <v>37</v>
      </c>
      <c r="B335" s="214">
        <v>2013</v>
      </c>
      <c r="C335" s="214" t="str">
        <f t="shared" si="12"/>
        <v>October,2013</v>
      </c>
      <c r="D335" s="221">
        <v>46</v>
      </c>
    </row>
    <row r="336" spans="1:4" ht="12.75">
      <c r="A336" s="220" t="s">
        <v>38</v>
      </c>
      <c r="B336" s="214">
        <v>2013</v>
      </c>
      <c r="C336" s="214" t="str">
        <f t="shared" si="12"/>
        <v>November,2013</v>
      </c>
      <c r="D336" s="221">
        <v>47</v>
      </c>
    </row>
    <row r="337" spans="1:4" ht="12.75">
      <c r="A337" s="220" t="s">
        <v>39</v>
      </c>
      <c r="B337" s="214">
        <v>2013</v>
      </c>
      <c r="C337" s="214" t="str">
        <f t="shared" si="12"/>
        <v>December,2013</v>
      </c>
      <c r="D337" s="221">
        <v>48</v>
      </c>
    </row>
    <row r="338" spans="1:4" ht="12.75">
      <c r="A338" s="220" t="s">
        <v>28</v>
      </c>
      <c r="B338" s="214">
        <v>2014</v>
      </c>
      <c r="C338" s="214" t="str">
        <f t="shared" si="12"/>
        <v>January,2014</v>
      </c>
      <c r="D338" s="221">
        <v>49</v>
      </c>
    </row>
    <row r="339" spans="1:4" ht="12.75">
      <c r="A339" s="220" t="s">
        <v>29</v>
      </c>
      <c r="B339" s="214">
        <v>2014</v>
      </c>
      <c r="C339" s="214" t="str">
        <f t="shared" si="12"/>
        <v>February,2014</v>
      </c>
      <c r="D339" s="221">
        <v>50</v>
      </c>
    </row>
    <row r="340" spans="1:4" ht="12.75">
      <c r="A340" s="220" t="s">
        <v>30</v>
      </c>
      <c r="B340" s="214">
        <v>2014</v>
      </c>
      <c r="C340" s="214" t="str">
        <f t="shared" si="12"/>
        <v>March,2014</v>
      </c>
      <c r="D340" s="221">
        <v>51</v>
      </c>
    </row>
    <row r="341" spans="1:4" ht="12.75">
      <c r="A341" s="220" t="s">
        <v>31</v>
      </c>
      <c r="B341" s="214">
        <v>2014</v>
      </c>
      <c r="C341" s="214" t="str">
        <f t="shared" si="12"/>
        <v>April,2014</v>
      </c>
      <c r="D341" s="221">
        <v>52</v>
      </c>
    </row>
    <row r="342" spans="1:4" ht="12.75">
      <c r="A342" s="220" t="s">
        <v>32</v>
      </c>
      <c r="B342" s="214">
        <v>2014</v>
      </c>
      <c r="C342" s="214" t="str">
        <f t="shared" si="12"/>
        <v>May,2014</v>
      </c>
      <c r="D342" s="221">
        <v>53</v>
      </c>
    </row>
    <row r="343" spans="1:4" ht="12.75">
      <c r="A343" s="220" t="s">
        <v>33</v>
      </c>
      <c r="B343" s="214">
        <v>2014</v>
      </c>
      <c r="C343" s="214" t="str">
        <f t="shared" si="12"/>
        <v>June,2014</v>
      </c>
      <c r="D343" s="221">
        <v>54</v>
      </c>
    </row>
    <row r="344" spans="1:4" ht="12.75">
      <c r="A344" s="220" t="s">
        <v>34</v>
      </c>
      <c r="B344" s="214">
        <v>2014</v>
      </c>
      <c r="C344" s="214" t="str">
        <f t="shared" si="12"/>
        <v>July,2014</v>
      </c>
      <c r="D344" s="221">
        <v>55</v>
      </c>
    </row>
    <row r="345" spans="1:4" ht="12.75">
      <c r="A345" s="220" t="s">
        <v>35</v>
      </c>
      <c r="B345" s="214">
        <v>2014</v>
      </c>
      <c r="C345" s="214" t="str">
        <f t="shared" si="12"/>
        <v>August,2014</v>
      </c>
      <c r="D345" s="221">
        <v>56</v>
      </c>
    </row>
    <row r="346" spans="1:4" ht="12.75">
      <c r="A346" s="220" t="s">
        <v>36</v>
      </c>
      <c r="B346" s="214">
        <v>2014</v>
      </c>
      <c r="C346" s="214" t="str">
        <f t="shared" si="12"/>
        <v>September,2014</v>
      </c>
      <c r="D346" s="221">
        <v>57</v>
      </c>
    </row>
    <row r="347" spans="1:4" ht="12.75">
      <c r="A347" s="220" t="s">
        <v>37</v>
      </c>
      <c r="B347" s="214">
        <v>2014</v>
      </c>
      <c r="C347" s="214" t="str">
        <f t="shared" si="12"/>
        <v>October,2014</v>
      </c>
      <c r="D347" s="221">
        <v>58</v>
      </c>
    </row>
    <row r="348" spans="1:4" ht="12.75">
      <c r="A348" s="220" t="s">
        <v>38</v>
      </c>
      <c r="B348" s="214">
        <v>2014</v>
      </c>
      <c r="C348" s="214" t="str">
        <f t="shared" si="12"/>
        <v>November,2014</v>
      </c>
      <c r="D348" s="221">
        <v>59</v>
      </c>
    </row>
    <row r="349" spans="1:4" ht="12.75">
      <c r="A349" s="220" t="s">
        <v>39</v>
      </c>
      <c r="B349" s="214">
        <v>2014</v>
      </c>
      <c r="C349" s="214" t="str">
        <f t="shared" si="12"/>
        <v>December,2014</v>
      </c>
      <c r="D349" s="221">
        <v>60</v>
      </c>
    </row>
    <row r="350" spans="3:4" ht="12.75">
      <c r="C350" s="216" t="s">
        <v>281</v>
      </c>
      <c r="D350" s="222">
        <v>100</v>
      </c>
    </row>
    <row r="370" spans="7:112" s="239" customFormat="1" ht="24.75" customHeight="1">
      <c r="G370" s="239">
        <v>1</v>
      </c>
      <c r="H370" s="239">
        <v>2</v>
      </c>
      <c r="I370" s="239">
        <v>3</v>
      </c>
      <c r="J370" s="239">
        <v>4</v>
      </c>
      <c r="K370" s="239">
        <v>5</v>
      </c>
      <c r="L370" s="239">
        <v>6</v>
      </c>
      <c r="T370" s="239">
        <v>7</v>
      </c>
      <c r="U370" s="239">
        <v>8</v>
      </c>
      <c r="V370" s="239">
        <v>9</v>
      </c>
      <c r="W370" s="239">
        <v>10</v>
      </c>
      <c r="X370" s="239">
        <v>11</v>
      </c>
      <c r="Y370" s="239">
        <v>12</v>
      </c>
      <c r="Z370" s="239">
        <v>13</v>
      </c>
      <c r="AA370" s="239">
        <v>14</v>
      </c>
      <c r="AB370" s="239">
        <v>15</v>
      </c>
      <c r="AC370" s="239">
        <v>16</v>
      </c>
      <c r="AD370" s="239">
        <v>17</v>
      </c>
      <c r="AE370" s="239">
        <v>18</v>
      </c>
      <c r="AF370" s="239">
        <v>19</v>
      </c>
      <c r="AG370" s="239">
        <v>20</v>
      </c>
      <c r="AH370" s="216"/>
      <c r="AI370" s="216"/>
      <c r="AJ370" s="216"/>
      <c r="AK370" s="216"/>
      <c r="AL370" s="216"/>
      <c r="AM370" s="216"/>
      <c r="AN370" s="216"/>
      <c r="AO370" s="216"/>
      <c r="AP370" s="216"/>
      <c r="AQ370" s="216"/>
      <c r="AR370" s="216"/>
      <c r="AS370" s="239">
        <v>32</v>
      </c>
      <c r="AT370" s="239">
        <v>33</v>
      </c>
      <c r="AU370" s="239">
        <v>34</v>
      </c>
      <c r="AV370" s="239">
        <v>35</v>
      </c>
      <c r="AW370" s="239">
        <v>36</v>
      </c>
      <c r="AX370" s="239">
        <v>37</v>
      </c>
      <c r="AY370" s="239">
        <v>38</v>
      </c>
      <c r="AZ370" s="239">
        <v>39</v>
      </c>
      <c r="BA370" s="239">
        <v>40</v>
      </c>
      <c r="BB370" s="239">
        <v>41</v>
      </c>
      <c r="BC370" s="239">
        <v>42</v>
      </c>
      <c r="BD370" s="239">
        <v>43</v>
      </c>
      <c r="BE370" s="239">
        <v>44</v>
      </c>
      <c r="BF370" s="239">
        <v>45</v>
      </c>
      <c r="BG370" s="239">
        <v>46</v>
      </c>
      <c r="BH370" s="239">
        <v>47</v>
      </c>
      <c r="BI370" s="239">
        <v>48</v>
      </c>
      <c r="BJ370" s="239">
        <v>49</v>
      </c>
      <c r="BK370" s="239">
        <v>50</v>
      </c>
      <c r="BL370" s="239">
        <v>51</v>
      </c>
      <c r="BM370" s="239">
        <v>52</v>
      </c>
      <c r="BN370" s="239">
        <v>53</v>
      </c>
      <c r="BO370" s="239">
        <v>54</v>
      </c>
      <c r="BP370" s="239">
        <v>55</v>
      </c>
      <c r="BQ370" s="239">
        <v>56</v>
      </c>
      <c r="BR370" s="239">
        <v>57</v>
      </c>
      <c r="BS370" s="239">
        <v>58</v>
      </c>
      <c r="BT370" s="239">
        <v>59</v>
      </c>
      <c r="BU370" s="239">
        <v>60</v>
      </c>
      <c r="BV370" s="239">
        <v>61</v>
      </c>
      <c r="BW370" s="239">
        <v>62</v>
      </c>
      <c r="BX370" s="239">
        <v>63</v>
      </c>
      <c r="BY370" s="239">
        <v>64</v>
      </c>
      <c r="BZ370" s="239">
        <v>65</v>
      </c>
      <c r="CA370" s="239">
        <v>66</v>
      </c>
      <c r="CB370" s="239">
        <v>67</v>
      </c>
      <c r="CC370" s="239">
        <v>68</v>
      </c>
      <c r="CD370" s="239">
        <v>69</v>
      </c>
      <c r="CE370" s="239">
        <v>70</v>
      </c>
      <c r="CF370" s="239">
        <v>71</v>
      </c>
      <c r="CG370" s="239">
        <v>72</v>
      </c>
      <c r="CH370" s="239">
        <v>73</v>
      </c>
      <c r="CI370" s="239">
        <v>74</v>
      </c>
      <c r="CJ370" s="239">
        <v>75</v>
      </c>
      <c r="CK370" s="239">
        <v>76</v>
      </c>
      <c r="CL370" s="239">
        <v>77</v>
      </c>
      <c r="CM370" s="239">
        <v>78</v>
      </c>
      <c r="CN370" s="239">
        <v>79</v>
      </c>
      <c r="CO370" s="239">
        <v>80</v>
      </c>
      <c r="CP370" s="239">
        <v>81</v>
      </c>
      <c r="CQ370" s="239">
        <v>82</v>
      </c>
      <c r="CR370" s="239">
        <v>83</v>
      </c>
      <c r="CS370" s="239">
        <v>84</v>
      </c>
      <c r="CT370" s="239">
        <v>85</v>
      </c>
      <c r="CU370" s="239">
        <v>86</v>
      </c>
      <c r="CV370" s="239">
        <v>87</v>
      </c>
      <c r="CW370" s="239">
        <v>88</v>
      </c>
      <c r="CX370" s="239">
        <v>89</v>
      </c>
      <c r="CY370" s="239">
        <v>90</v>
      </c>
      <c r="CZ370" s="239">
        <v>91</v>
      </c>
      <c r="DA370" s="239">
        <v>92</v>
      </c>
      <c r="DB370" s="239">
        <v>93</v>
      </c>
      <c r="DC370" s="239">
        <v>94</v>
      </c>
      <c r="DD370" s="239">
        <v>95</v>
      </c>
      <c r="DE370" s="239">
        <v>96</v>
      </c>
      <c r="DF370" s="239">
        <v>97</v>
      </c>
      <c r="DG370" s="239">
        <v>98</v>
      </c>
      <c r="DH370" s="239">
        <v>99</v>
      </c>
    </row>
    <row r="371" spans="7:112" s="239" customFormat="1" ht="24.75" customHeight="1">
      <c r="G371" s="239" t="s">
        <v>366</v>
      </c>
      <c r="H371" s="240" t="s">
        <v>367</v>
      </c>
      <c r="I371" s="240" t="s">
        <v>368</v>
      </c>
      <c r="J371" s="240" t="s">
        <v>369</v>
      </c>
      <c r="K371" s="240" t="s">
        <v>370</v>
      </c>
      <c r="L371" s="240" t="s">
        <v>371</v>
      </c>
      <c r="M371" s="240"/>
      <c r="N371" s="240"/>
      <c r="O371" s="240"/>
      <c r="P371" s="240"/>
      <c r="Q371" s="240"/>
      <c r="R371" s="240"/>
      <c r="S371" s="240"/>
      <c r="T371" s="240" t="s">
        <v>372</v>
      </c>
      <c r="U371" s="240" t="s">
        <v>373</v>
      </c>
      <c r="V371" s="240" t="s">
        <v>374</v>
      </c>
      <c r="W371" s="240" t="s">
        <v>375</v>
      </c>
      <c r="X371" s="240" t="s">
        <v>376</v>
      </c>
      <c r="Y371" s="240" t="s">
        <v>377</v>
      </c>
      <c r="Z371" s="240" t="s">
        <v>378</v>
      </c>
      <c r="AA371" s="240" t="s">
        <v>379</v>
      </c>
      <c r="AB371" s="240" t="s">
        <v>380</v>
      </c>
      <c r="AC371" s="240" t="s">
        <v>381</v>
      </c>
      <c r="AD371" s="240" t="s">
        <v>382</v>
      </c>
      <c r="AE371" s="240" t="s">
        <v>383</v>
      </c>
      <c r="AF371" s="240" t="s">
        <v>384</v>
      </c>
      <c r="AG371" s="240" t="s">
        <v>385</v>
      </c>
      <c r="AH371" s="216"/>
      <c r="AI371" s="216"/>
      <c r="AJ371" s="216"/>
      <c r="AK371" s="216"/>
      <c r="AL371" s="216"/>
      <c r="AM371" s="216"/>
      <c r="AN371" s="216"/>
      <c r="AO371" s="216"/>
      <c r="AP371" s="216"/>
      <c r="AQ371" s="216"/>
      <c r="AR371" s="216"/>
      <c r="AS371" s="240" t="s">
        <v>397</v>
      </c>
      <c r="AT371" s="240" t="s">
        <v>398</v>
      </c>
      <c r="AU371" s="240" t="s">
        <v>399</v>
      </c>
      <c r="AV371" s="240" t="s">
        <v>400</v>
      </c>
      <c r="AW371" s="240" t="s">
        <v>401</v>
      </c>
      <c r="AX371" s="240" t="s">
        <v>402</v>
      </c>
      <c r="AY371" s="240" t="s">
        <v>403</v>
      </c>
      <c r="AZ371" s="240" t="s">
        <v>404</v>
      </c>
      <c r="BA371" s="240" t="s">
        <v>405</v>
      </c>
      <c r="BB371" s="240" t="s">
        <v>406</v>
      </c>
      <c r="BC371" s="240" t="s">
        <v>407</v>
      </c>
      <c r="BD371" s="240" t="s">
        <v>408</v>
      </c>
      <c r="BE371" s="240" t="s">
        <v>409</v>
      </c>
      <c r="BF371" s="240" t="s">
        <v>410</v>
      </c>
      <c r="BG371" s="240" t="s">
        <v>411</v>
      </c>
      <c r="BH371" s="240" t="s">
        <v>412</v>
      </c>
      <c r="BI371" s="240" t="s">
        <v>413</v>
      </c>
      <c r="BJ371" s="240" t="s">
        <v>414</v>
      </c>
      <c r="BK371" s="240" t="s">
        <v>415</v>
      </c>
      <c r="BL371" s="240" t="s">
        <v>416</v>
      </c>
      <c r="BM371" s="240" t="s">
        <v>417</v>
      </c>
      <c r="BN371" s="240" t="s">
        <v>418</v>
      </c>
      <c r="BO371" s="240" t="s">
        <v>419</v>
      </c>
      <c r="BP371" s="240" t="s">
        <v>420</v>
      </c>
      <c r="BQ371" s="240" t="s">
        <v>421</v>
      </c>
      <c r="BR371" s="240" t="s">
        <v>422</v>
      </c>
      <c r="BS371" s="240" t="s">
        <v>423</v>
      </c>
      <c r="BT371" s="240" t="s">
        <v>424</v>
      </c>
      <c r="BU371" s="240" t="s">
        <v>425</v>
      </c>
      <c r="BV371" s="240" t="s">
        <v>426</v>
      </c>
      <c r="BW371" s="240" t="s">
        <v>427</v>
      </c>
      <c r="BX371" s="240" t="s">
        <v>428</v>
      </c>
      <c r="BY371" s="240" t="s">
        <v>429</v>
      </c>
      <c r="BZ371" s="240" t="s">
        <v>430</v>
      </c>
      <c r="CA371" s="240" t="s">
        <v>431</v>
      </c>
      <c r="CB371" s="240" t="s">
        <v>432</v>
      </c>
      <c r="CC371" s="240" t="s">
        <v>433</v>
      </c>
      <c r="CD371" s="240" t="s">
        <v>434</v>
      </c>
      <c r="CE371" s="240" t="s">
        <v>435</v>
      </c>
      <c r="CF371" s="240" t="s">
        <v>436</v>
      </c>
      <c r="CG371" s="240" t="s">
        <v>437</v>
      </c>
      <c r="CH371" s="240" t="s">
        <v>438</v>
      </c>
      <c r="CI371" s="240" t="s">
        <v>439</v>
      </c>
      <c r="CJ371" s="240" t="s">
        <v>440</v>
      </c>
      <c r="CK371" s="240" t="s">
        <v>441</v>
      </c>
      <c r="CL371" s="240" t="s">
        <v>442</v>
      </c>
      <c r="CM371" s="240" t="s">
        <v>443</v>
      </c>
      <c r="CN371" s="240" t="s">
        <v>444</v>
      </c>
      <c r="CO371" s="240" t="s">
        <v>445</v>
      </c>
      <c r="CP371" s="240" t="s">
        <v>446</v>
      </c>
      <c r="CQ371" s="240" t="s">
        <v>447</v>
      </c>
      <c r="CR371" s="240" t="s">
        <v>448</v>
      </c>
      <c r="CS371" s="240" t="s">
        <v>449</v>
      </c>
      <c r="CT371" s="240" t="s">
        <v>450</v>
      </c>
      <c r="CU371" s="240" t="s">
        <v>451</v>
      </c>
      <c r="CV371" s="240" t="s">
        <v>452</v>
      </c>
      <c r="CW371" s="240" t="s">
        <v>453</v>
      </c>
      <c r="CX371" s="240" t="s">
        <v>454</v>
      </c>
      <c r="CY371" s="240" t="s">
        <v>455</v>
      </c>
      <c r="CZ371" s="240" t="s">
        <v>456</v>
      </c>
      <c r="DA371" s="240" t="s">
        <v>457</v>
      </c>
      <c r="DB371" s="240" t="s">
        <v>458</v>
      </c>
      <c r="DC371" s="240" t="s">
        <v>459</v>
      </c>
      <c r="DD371" s="240" t="s">
        <v>460</v>
      </c>
      <c r="DE371" s="240" t="s">
        <v>461</v>
      </c>
      <c r="DF371" s="240" t="s">
        <v>462</v>
      </c>
      <c r="DG371" s="240" t="s">
        <v>463</v>
      </c>
      <c r="DH371" s="240" t="s">
        <v>464</v>
      </c>
    </row>
    <row r="372" spans="34:44" s="239" customFormat="1" ht="24.75" customHeight="1">
      <c r="AH372" s="216"/>
      <c r="AI372" s="216"/>
      <c r="AJ372" s="216"/>
      <c r="AK372" s="216"/>
      <c r="AL372" s="216"/>
      <c r="AM372" s="216"/>
      <c r="AN372" s="216"/>
      <c r="AO372" s="216"/>
      <c r="AP372" s="216"/>
      <c r="AQ372" s="216"/>
      <c r="AR372" s="216"/>
    </row>
    <row r="373" spans="34:44" s="239" customFormat="1" ht="24.75" customHeight="1">
      <c r="AH373" s="216"/>
      <c r="AI373" s="216"/>
      <c r="AJ373" s="216"/>
      <c r="AK373" s="216"/>
      <c r="AL373" s="216"/>
      <c r="AM373" s="216"/>
      <c r="AN373" s="216"/>
      <c r="AO373" s="216"/>
      <c r="AP373" s="216"/>
      <c r="AQ373" s="216"/>
      <c r="AR373" s="216"/>
    </row>
    <row r="374" spans="25:44" s="239" customFormat="1" ht="24.75" customHeight="1">
      <c r="Y374" s="811"/>
      <c r="Z374" s="811"/>
      <c r="AH374" s="216"/>
      <c r="AI374" s="216"/>
      <c r="AJ374" s="216"/>
      <c r="AK374" s="216"/>
      <c r="AL374" s="216"/>
      <c r="AM374" s="216"/>
      <c r="AN374" s="216"/>
      <c r="AO374" s="216"/>
      <c r="AP374" s="216"/>
      <c r="AQ374" s="216"/>
      <c r="AR374" s="216"/>
    </row>
    <row r="375" spans="1:44" s="239" customFormat="1" ht="24.75" customHeight="1">
      <c r="A375" s="241"/>
      <c r="Y375" s="803"/>
      <c r="Z375" s="803"/>
      <c r="AH375" s="216"/>
      <c r="AI375" s="216"/>
      <c r="AJ375" s="216"/>
      <c r="AK375" s="216"/>
      <c r="AL375" s="216"/>
      <c r="AM375" s="216"/>
      <c r="AN375" s="216"/>
      <c r="AO375" s="216"/>
      <c r="AP375" s="216"/>
      <c r="AQ375" s="216"/>
      <c r="AR375" s="216"/>
    </row>
    <row r="376" spans="1:44" s="239" customFormat="1" ht="17.25" customHeight="1">
      <c r="A376" s="241"/>
      <c r="Y376" s="802"/>
      <c r="Z376" s="802"/>
      <c r="AH376" s="216"/>
      <c r="AI376" s="216"/>
      <c r="AJ376" s="216"/>
      <c r="AK376" s="216"/>
      <c r="AL376" s="216"/>
      <c r="AM376" s="216"/>
      <c r="AN376" s="216"/>
      <c r="AO376" s="216"/>
      <c r="AP376" s="216"/>
      <c r="AQ376" s="216"/>
      <c r="AR376" s="216"/>
    </row>
    <row r="377" spans="1:44" s="239" customFormat="1" ht="17.25" customHeight="1">
      <c r="A377" s="241"/>
      <c r="Y377" s="803"/>
      <c r="Z377" s="804"/>
      <c r="AH377" s="216"/>
      <c r="AI377" s="216"/>
      <c r="AJ377" s="216"/>
      <c r="AK377" s="216"/>
      <c r="AL377" s="216"/>
      <c r="AM377" s="216"/>
      <c r="AN377" s="216"/>
      <c r="AO377" s="216"/>
      <c r="AP377" s="216"/>
      <c r="AQ377" s="216"/>
      <c r="AR377" s="216"/>
    </row>
    <row r="378" spans="1:44" s="239" customFormat="1" ht="29.25" customHeight="1">
      <c r="A378" s="241"/>
      <c r="AH378" s="216"/>
      <c r="AI378" s="216"/>
      <c r="AJ378" s="216"/>
      <c r="AK378" s="216"/>
      <c r="AL378" s="216"/>
      <c r="AM378" s="216"/>
      <c r="AN378" s="216"/>
      <c r="AO378" s="216"/>
      <c r="AP378" s="216"/>
      <c r="AQ378" s="216"/>
      <c r="AR378" s="216"/>
    </row>
    <row r="379" spans="34:44" s="239" customFormat="1" ht="15" customHeight="1">
      <c r="AH379" s="216"/>
      <c r="AI379" s="216"/>
      <c r="AJ379" s="216"/>
      <c r="AK379" s="216"/>
      <c r="AL379" s="216"/>
      <c r="AM379" s="216"/>
      <c r="AN379" s="216"/>
      <c r="AO379" s="216"/>
      <c r="AP379" s="216"/>
      <c r="AQ379" s="216"/>
      <c r="AR379" s="216"/>
    </row>
    <row r="380" spans="34:44" s="239" customFormat="1" ht="15" customHeight="1">
      <c r="AH380" s="216"/>
      <c r="AI380" s="216"/>
      <c r="AJ380" s="216"/>
      <c r="AK380" s="216"/>
      <c r="AL380" s="216"/>
      <c r="AM380" s="216"/>
      <c r="AN380" s="216"/>
      <c r="AO380" s="216"/>
      <c r="AP380" s="216"/>
      <c r="AQ380" s="216"/>
      <c r="AR380" s="216"/>
    </row>
    <row r="381" spans="34:44" s="239" customFormat="1" ht="15" customHeight="1">
      <c r="AH381" s="216"/>
      <c r="AI381" s="216"/>
      <c r="AJ381" s="216"/>
      <c r="AK381" s="216"/>
      <c r="AL381" s="216"/>
      <c r="AM381" s="216"/>
      <c r="AN381" s="216"/>
      <c r="AO381" s="216"/>
      <c r="AP381" s="216"/>
      <c r="AQ381" s="216"/>
      <c r="AR381" s="216"/>
    </row>
    <row r="382" spans="34:44" s="239" customFormat="1" ht="15" customHeight="1">
      <c r="AH382" s="216"/>
      <c r="AI382" s="216"/>
      <c r="AJ382" s="216"/>
      <c r="AK382" s="216"/>
      <c r="AL382" s="216"/>
      <c r="AM382" s="216"/>
      <c r="AN382" s="216"/>
      <c r="AO382" s="216"/>
      <c r="AP382" s="216"/>
      <c r="AQ382" s="216"/>
      <c r="AR382" s="216"/>
    </row>
    <row r="383" spans="1:44" s="239" customFormat="1" ht="27.75" customHeight="1">
      <c r="A383" s="242" t="s">
        <v>465</v>
      </c>
      <c r="B383" s="132" t="s">
        <v>466</v>
      </c>
      <c r="C383" s="240"/>
      <c r="E383" s="240"/>
      <c r="F383" s="240"/>
      <c r="G383" s="240"/>
      <c r="H383" s="240"/>
      <c r="I383" s="240"/>
      <c r="J383" s="240"/>
      <c r="K383" s="240"/>
      <c r="L383" s="240"/>
      <c r="M383" s="240"/>
      <c r="N383" s="240"/>
      <c r="O383" s="240"/>
      <c r="P383" s="240"/>
      <c r="Q383" s="240"/>
      <c r="R383" s="240"/>
      <c r="S383" s="240"/>
      <c r="T383" s="240"/>
      <c r="U383" s="240"/>
      <c r="V383" s="240"/>
      <c r="W383" s="240"/>
      <c r="X383" s="240"/>
      <c r="AH383" s="216"/>
      <c r="AI383" s="216"/>
      <c r="AJ383" s="216"/>
      <c r="AK383" s="216"/>
      <c r="AL383" s="216"/>
      <c r="AM383" s="216"/>
      <c r="AN383" s="216"/>
      <c r="AO383" s="216"/>
      <c r="AP383" s="216"/>
      <c r="AQ383" s="216"/>
      <c r="AR383" s="216"/>
    </row>
    <row r="384" spans="1:44" s="239" customFormat="1" ht="34.5" customHeight="1">
      <c r="A384" s="243">
        <f>'47 In'!Z32</f>
        <v>450</v>
      </c>
      <c r="B384" s="244" t="str">
        <f>IF(A384="","",CONCATENATE("(",X384," rupees only)"))</f>
        <v>(Four Hundred and Fifty rupees only)</v>
      </c>
      <c r="C384" s="239">
        <f>INT(A384/100000)</f>
        <v>0</v>
      </c>
      <c r="D384" s="239">
        <f>INT(A384/1000-C384*100)</f>
        <v>0</v>
      </c>
      <c r="E384" s="239">
        <f>INT(A384/100-C384*1000-D384*10)</f>
        <v>4</v>
      </c>
      <c r="F384" s="239">
        <f>INT(A384-C384*100000-D384*1000-E384*100)</f>
        <v>50</v>
      </c>
      <c r="G384" s="239">
        <f>IF(C384=0,"",HLOOKUP(C384,G370:DH371,2,0))</f>
      </c>
      <c r="H384" s="239">
        <f>IF(D384=0,"",HLOOKUP(D384,G370:DH371,2,0))</f>
      </c>
      <c r="I384" s="239" t="str">
        <f>IF(E384=0,"",HLOOKUP(E384,G370:DH371,2,0))</f>
        <v>Four</v>
      </c>
      <c r="J384" s="239" t="str">
        <f>IF(F384=0,"",HLOOKUP(F384,G370:DH371,2,0))</f>
        <v>Fifty</v>
      </c>
      <c r="K384" s="239">
        <f>IF(AND(E384=0,F384=0),1,2)</f>
        <v>2</v>
      </c>
      <c r="L384" s="239">
        <f>IF(F384=0,3,4)</f>
        <v>4</v>
      </c>
      <c r="T384" s="239">
        <f>IF(OR(K384=1,L384=3),5,6)</f>
        <v>6</v>
      </c>
      <c r="U384" s="239">
        <f>IF(C384&gt;1," Lakhs ",IF(C384&gt;0," Lakh ",""))</f>
      </c>
      <c r="V384" s="239">
        <f>IF(D384&gt;0," Thousand ","")</f>
      </c>
      <c r="W384" s="239" t="str">
        <f>IF(E384&gt;0," Hundred ","")</f>
        <v> Hundred </v>
      </c>
      <c r="X384" s="132" t="str">
        <f>IF(A384=0,"Zero",IF(A384&gt;0,TRIM(CONCATENATE(G384,U384,H384,V384,I384,W384,IF(AND(A384&gt;100,T384=6)," and ",""),J384)),""))</f>
        <v>Four Hundred and Fifty</v>
      </c>
      <c r="AH384" s="216"/>
      <c r="AI384" s="216"/>
      <c r="AJ384" s="216"/>
      <c r="AK384" s="239">
        <v>24</v>
      </c>
      <c r="AL384" s="216"/>
      <c r="AM384" s="216"/>
      <c r="AN384" s="216"/>
      <c r="AO384" s="239">
        <v>28</v>
      </c>
      <c r="AP384" s="216"/>
      <c r="AQ384" s="216"/>
      <c r="AR384" s="216"/>
    </row>
    <row r="385" spans="1:44" s="239" customFormat="1" ht="34.5" customHeight="1">
      <c r="A385" s="243">
        <f>'47 In'!X32+'47 In'!Y32</f>
        <v>6959</v>
      </c>
      <c r="B385" s="244" t="str">
        <f>IF(A385="","",CONCATENATE("(",X385," rupees only)"))</f>
        <v>(Six Thousand Nine Hundred and Fifty nine rupees only)</v>
      </c>
      <c r="C385" s="239">
        <f>INT(A385/100000)</f>
        <v>0</v>
      </c>
      <c r="D385" s="239">
        <f>INT(A385/1000-C385*100)</f>
        <v>6</v>
      </c>
      <c r="E385" s="239">
        <f>INT(A385/100-C385*1000-D385*10)</f>
        <v>9</v>
      </c>
      <c r="F385" s="239">
        <f>INT(A385-C385*100000-D385*1000-E385*100)</f>
        <v>59</v>
      </c>
      <c r="G385" s="239">
        <f>IF(C385=0,"",HLOOKUP(C385,G370:DH371,2,0))</f>
      </c>
      <c r="H385" s="239" t="str">
        <f>IF(D385=0,"",HLOOKUP(D385,G370:DH371,2,0))</f>
        <v>Six</v>
      </c>
      <c r="I385" s="239" t="str">
        <f>IF(E385=0,"",HLOOKUP(E385,G370:DH371,2,0))</f>
        <v>Nine</v>
      </c>
      <c r="J385" s="239" t="str">
        <f>IF(F385=0,"",HLOOKUP(F385,G370:DH371,2,0))</f>
        <v>Fifty nine</v>
      </c>
      <c r="K385" s="239">
        <f>IF(AND(E385=0,F385=0),1,2)</f>
        <v>2</v>
      </c>
      <c r="L385" s="239">
        <f>IF(F385=0,3,4)</f>
        <v>4</v>
      </c>
      <c r="T385" s="239">
        <f>IF(OR(K385=1,L385=3),5,6)</f>
        <v>6</v>
      </c>
      <c r="U385" s="239">
        <f>IF(C385&gt;1," Lakhs ",IF(C385&gt;0," Lakh ",""))</f>
      </c>
      <c r="V385" s="239" t="str">
        <f>IF(D385&gt;0," Thousand ","")</f>
        <v> Thousand </v>
      </c>
      <c r="W385" s="239" t="str">
        <f>IF(E385&gt;0," Hundred ","")</f>
        <v> Hundred </v>
      </c>
      <c r="X385" s="132" t="str">
        <f>IF(A385=0,"Zero",IF(A385&gt;0,TRIM(CONCATENATE(G385,U385,H385,V385,I385,W385,IF(AND(A385&gt;100,T385=6)," and ",""),J385)),""))</f>
        <v>Six Thousand Nine Hundred and Fifty nine</v>
      </c>
      <c r="AH385" s="216"/>
      <c r="AI385" s="216"/>
      <c r="AJ385" s="216"/>
      <c r="AK385" s="240" t="s">
        <v>389</v>
      </c>
      <c r="AL385" s="216"/>
      <c r="AM385" s="216"/>
      <c r="AN385" s="216"/>
      <c r="AO385" s="240" t="s">
        <v>393</v>
      </c>
      <c r="AP385" s="216"/>
      <c r="AQ385" s="216"/>
      <c r="AR385" s="216"/>
    </row>
    <row r="386" spans="1:44" s="239" customFormat="1" ht="34.5" customHeight="1">
      <c r="A386" s="243">
        <f>A384+1</f>
        <v>451</v>
      </c>
      <c r="B386" s="244" t="str">
        <f>IF(A386="","",CONCATENATE("(",X386," rupees only)"))</f>
        <v>(Four Hundred and Fifty one rupees only)</v>
      </c>
      <c r="C386" s="239">
        <f>INT(A386/100000)</f>
        <v>0</v>
      </c>
      <c r="D386" s="239">
        <f>INT(A386/1000-C386*100)</f>
        <v>0</v>
      </c>
      <c r="E386" s="239">
        <f>INT(A386/100-C386*1000-D386*10)</f>
        <v>4</v>
      </c>
      <c r="F386" s="239">
        <f>INT(A386-C386*100000-D386*1000-E386*100)</f>
        <v>51</v>
      </c>
      <c r="G386" s="239">
        <f>IF(C386=0,"",HLOOKUP(C386,G370:DH371,2,0))</f>
      </c>
      <c r="H386" s="239">
        <f>IF(D386=0,"",HLOOKUP(D386,G370:DH371,2,0))</f>
      </c>
      <c r="I386" s="239" t="str">
        <f>IF(E386=0,"",HLOOKUP(E386,G370:DH371,2,0))</f>
        <v>Four</v>
      </c>
      <c r="J386" s="239" t="str">
        <f>IF(F386=0,"",HLOOKUP(F386,G370:DH371,2,0))</f>
        <v>Fifty one</v>
      </c>
      <c r="K386" s="239">
        <f>IF(AND(E386=0,F386=0),1,2)</f>
        <v>2</v>
      </c>
      <c r="L386" s="239">
        <f>IF(F386=0,3,4)</f>
        <v>4</v>
      </c>
      <c r="T386" s="239">
        <f>IF(OR(K386=1,L386=3),5,6)</f>
        <v>6</v>
      </c>
      <c r="U386" s="239">
        <f>IF(C386&gt;1," Lakhs ",IF(C386&gt;0," Lakh ",""))</f>
      </c>
      <c r="V386" s="239">
        <f>IF(D386&gt;0," Thousand ","")</f>
      </c>
      <c r="W386" s="239" t="str">
        <f>IF(E386&gt;0," Hundred ","")</f>
        <v> Hundred </v>
      </c>
      <c r="X386" s="132" t="str">
        <f>IF(A386=0,"Zero",IF(A386&gt;0,TRIM(CONCATENATE(G386,U386,H386,V386,I386,W386,IF(AND(A386&gt;100,T386=6)," and ",""),J386)),""))</f>
        <v>Four Hundred and Fifty one</v>
      </c>
      <c r="AH386" s="239">
        <v>21</v>
      </c>
      <c r="AI386" s="239">
        <v>22</v>
      </c>
      <c r="AJ386" s="239">
        <v>23</v>
      </c>
      <c r="AL386" s="239">
        <v>25</v>
      </c>
      <c r="AM386" s="239">
        <v>26</v>
      </c>
      <c r="AN386" s="239">
        <v>27</v>
      </c>
      <c r="AP386" s="239">
        <v>29</v>
      </c>
      <c r="AQ386" s="239">
        <v>30</v>
      </c>
      <c r="AR386" s="239">
        <v>31</v>
      </c>
    </row>
    <row r="387" spans="1:44" s="224" customFormat="1" ht="12.75">
      <c r="A387" s="245"/>
      <c r="B387" s="245"/>
      <c r="K387" s="246"/>
      <c r="AH387" s="240" t="s">
        <v>386</v>
      </c>
      <c r="AI387" s="240" t="s">
        <v>387</v>
      </c>
      <c r="AJ387" s="240" t="s">
        <v>388</v>
      </c>
      <c r="AK387" s="239"/>
      <c r="AL387" s="240" t="s">
        <v>390</v>
      </c>
      <c r="AM387" s="240" t="s">
        <v>391</v>
      </c>
      <c r="AN387" s="240" t="s">
        <v>392</v>
      </c>
      <c r="AO387" s="239"/>
      <c r="AP387" s="240" t="s">
        <v>394</v>
      </c>
      <c r="AQ387" s="240" t="s">
        <v>395</v>
      </c>
      <c r="AR387" s="240" t="s">
        <v>396</v>
      </c>
    </row>
    <row r="388" spans="1:44" s="224" customFormat="1" ht="12.75">
      <c r="A388" s="245"/>
      <c r="B388" s="245"/>
      <c r="K388" s="246"/>
      <c r="AH388" s="239"/>
      <c r="AI388" s="239"/>
      <c r="AJ388" s="239"/>
      <c r="AK388" s="239"/>
      <c r="AL388" s="239"/>
      <c r="AM388" s="239"/>
      <c r="AN388" s="239"/>
      <c r="AO388" s="239"/>
      <c r="AP388" s="239"/>
      <c r="AQ388" s="239"/>
      <c r="AR388" s="239"/>
    </row>
    <row r="389" spans="1:44" s="224" customFormat="1" ht="12.75">
      <c r="A389" s="245"/>
      <c r="B389" s="245"/>
      <c r="K389" s="246"/>
      <c r="AH389" s="239"/>
      <c r="AI389" s="239"/>
      <c r="AJ389" s="239"/>
      <c r="AK389" s="239"/>
      <c r="AL389" s="239"/>
      <c r="AM389" s="239"/>
      <c r="AN389" s="239"/>
      <c r="AO389" s="239"/>
      <c r="AP389" s="239"/>
      <c r="AQ389" s="239"/>
      <c r="AR389" s="239"/>
    </row>
    <row r="390" spans="1:44" s="224" customFormat="1" ht="12.75">
      <c r="A390" s="245"/>
      <c r="B390" s="245"/>
      <c r="K390" s="246"/>
      <c r="AH390" s="239"/>
      <c r="AI390" s="239"/>
      <c r="AJ390" s="239"/>
      <c r="AK390" s="239"/>
      <c r="AL390" s="239"/>
      <c r="AM390" s="239"/>
      <c r="AN390" s="239"/>
      <c r="AO390" s="239"/>
      <c r="AP390" s="239"/>
      <c r="AQ390" s="239"/>
      <c r="AR390" s="239"/>
    </row>
    <row r="391" spans="1:44" s="224" customFormat="1" ht="12.75">
      <c r="A391" s="245"/>
      <c r="B391" s="245"/>
      <c r="K391" s="246"/>
      <c r="AH391" s="239"/>
      <c r="AI391" s="239"/>
      <c r="AJ391" s="239"/>
      <c r="AK391" s="239"/>
      <c r="AL391" s="239"/>
      <c r="AM391" s="239"/>
      <c r="AN391" s="239"/>
      <c r="AO391" s="239"/>
      <c r="AP391" s="239"/>
      <c r="AQ391" s="239"/>
      <c r="AR391" s="239"/>
    </row>
    <row r="392" spans="1:44" s="224" customFormat="1" ht="12.75">
      <c r="A392" s="245"/>
      <c r="B392" s="245"/>
      <c r="K392" s="246"/>
      <c r="AH392" s="239"/>
      <c r="AI392" s="239"/>
      <c r="AJ392" s="239"/>
      <c r="AK392" s="239"/>
      <c r="AL392" s="239"/>
      <c r="AM392" s="239"/>
      <c r="AN392" s="239"/>
      <c r="AO392" s="239"/>
      <c r="AP392" s="239"/>
      <c r="AQ392" s="239"/>
      <c r="AR392" s="239"/>
    </row>
    <row r="393" spans="1:44" s="224" customFormat="1" ht="12.75">
      <c r="A393" s="245"/>
      <c r="B393" s="245"/>
      <c r="K393" s="246"/>
      <c r="AH393" s="239"/>
      <c r="AI393" s="239"/>
      <c r="AJ393" s="239"/>
      <c r="AK393" s="239"/>
      <c r="AL393" s="239"/>
      <c r="AM393" s="239"/>
      <c r="AN393" s="239"/>
      <c r="AO393" s="239"/>
      <c r="AP393" s="239"/>
      <c r="AQ393" s="239"/>
      <c r="AR393" s="239"/>
    </row>
    <row r="394" spans="1:44" s="224" customFormat="1" ht="12.75">
      <c r="A394" s="245"/>
      <c r="B394" s="245"/>
      <c r="K394" s="246"/>
      <c r="AH394" s="239"/>
      <c r="AI394" s="239"/>
      <c r="AJ394" s="239"/>
      <c r="AK394" s="239"/>
      <c r="AL394" s="239"/>
      <c r="AM394" s="239"/>
      <c r="AN394" s="239"/>
      <c r="AO394" s="239"/>
      <c r="AP394" s="239"/>
      <c r="AQ394" s="239"/>
      <c r="AR394" s="239"/>
    </row>
    <row r="395" spans="1:44" s="224" customFormat="1" ht="12.75">
      <c r="A395" s="245"/>
      <c r="B395" s="247" t="str">
        <f>CONCATENATE("Pass Per Rs.",A384,"/- ",B384,)</f>
        <v>Pass Per Rs.450/- (Four Hundred and Fifty rupees only)</v>
      </c>
      <c r="K395" s="246"/>
      <c r="AH395" s="239"/>
      <c r="AI395" s="239"/>
      <c r="AJ395" s="239"/>
      <c r="AK395" s="239"/>
      <c r="AL395" s="239"/>
      <c r="AM395" s="239"/>
      <c r="AN395" s="239"/>
      <c r="AO395" s="239"/>
      <c r="AP395" s="239"/>
      <c r="AQ395" s="239"/>
      <c r="AR395" s="239"/>
    </row>
    <row r="396" spans="1:44" s="224" customFormat="1" ht="12.75">
      <c r="A396" s="245"/>
      <c r="B396" s="245"/>
      <c r="K396" s="246"/>
      <c r="AH396" s="239"/>
      <c r="AI396" s="239"/>
      <c r="AJ396" s="239"/>
      <c r="AK396" s="239"/>
      <c r="AL396" s="239"/>
      <c r="AM396" s="239"/>
      <c r="AN396" s="239"/>
      <c r="AO396" s="239"/>
      <c r="AP396" s="239"/>
      <c r="AQ396" s="239"/>
      <c r="AR396" s="239"/>
    </row>
    <row r="397" spans="1:44" s="224" customFormat="1" ht="12.75">
      <c r="A397" s="245"/>
      <c r="B397" s="247" t="str">
        <f>IF(A384=0,CONCATENATE("Adjust an amount of Rs.",A385,"/- ",B385," into the individual ",Data!AH104," A/c."),B395)</f>
        <v>Pass Per Rs.450/- (Four Hundred and Fifty rupees only)</v>
      </c>
      <c r="K397" s="246"/>
      <c r="AH397" s="239"/>
      <c r="AI397" s="239"/>
      <c r="AJ397" s="239"/>
      <c r="AK397" s="239"/>
      <c r="AL397" s="239"/>
      <c r="AM397" s="239"/>
      <c r="AN397" s="239"/>
      <c r="AO397" s="239"/>
      <c r="AP397" s="239"/>
      <c r="AQ397" s="239"/>
      <c r="AR397" s="239"/>
    </row>
    <row r="398" spans="1:44" s="224" customFormat="1" ht="12.75">
      <c r="A398" s="245"/>
      <c r="B398" s="245"/>
      <c r="K398" s="246"/>
      <c r="AH398" s="239"/>
      <c r="AI398" s="239"/>
      <c r="AJ398" s="239"/>
      <c r="AK398" s="239"/>
      <c r="AL398" s="239"/>
      <c r="AM398" s="239"/>
      <c r="AN398" s="239"/>
      <c r="AO398" s="239"/>
      <c r="AP398" s="239"/>
      <c r="AQ398" s="239"/>
      <c r="AR398" s="239"/>
    </row>
    <row r="399" spans="1:44" s="224" customFormat="1" ht="12.75">
      <c r="A399" s="245"/>
      <c r="B399" s="245"/>
      <c r="K399" s="246"/>
      <c r="AH399" s="239"/>
      <c r="AI399" s="239"/>
      <c r="AJ399" s="239"/>
      <c r="AK399" s="239"/>
      <c r="AL399" s="239"/>
      <c r="AM399" s="239"/>
      <c r="AN399" s="239"/>
      <c r="AO399" s="239"/>
      <c r="AP399" s="239"/>
      <c r="AQ399" s="239"/>
      <c r="AR399" s="239"/>
    </row>
    <row r="400" spans="1:44" s="224" customFormat="1" ht="12.75">
      <c r="A400" s="245"/>
      <c r="B400" s="245"/>
      <c r="K400" s="246"/>
      <c r="AH400" s="239"/>
      <c r="AI400" s="239"/>
      <c r="AJ400" s="239"/>
      <c r="AK400" s="239"/>
      <c r="AL400" s="239"/>
      <c r="AM400" s="239"/>
      <c r="AN400" s="239"/>
      <c r="AO400" s="239"/>
      <c r="AP400" s="239"/>
      <c r="AQ400" s="239"/>
      <c r="AR400" s="239"/>
    </row>
    <row r="401" spans="1:44" s="224" customFormat="1" ht="12.75">
      <c r="A401" s="245"/>
      <c r="B401" s="245"/>
      <c r="K401" s="246"/>
      <c r="AH401" s="239"/>
      <c r="AI401" s="239"/>
      <c r="AJ401" s="239"/>
      <c r="AL401" s="239"/>
      <c r="AM401" s="239"/>
      <c r="AN401" s="239"/>
      <c r="AP401" s="239"/>
      <c r="AQ401" s="239"/>
      <c r="AR401" s="239"/>
    </row>
    <row r="402" spans="1:44" s="224" customFormat="1" ht="12.75">
      <c r="A402" s="245"/>
      <c r="B402" s="245"/>
      <c r="K402" s="246"/>
      <c r="AH402" s="239"/>
      <c r="AI402" s="239"/>
      <c r="AJ402" s="239"/>
      <c r="AL402" s="239"/>
      <c r="AM402" s="239"/>
      <c r="AN402" s="239"/>
      <c r="AP402" s="239"/>
      <c r="AQ402" s="239"/>
      <c r="AR402" s="239"/>
    </row>
    <row r="403" spans="1:11" s="224" customFormat="1" ht="12.75">
      <c r="A403" s="245"/>
      <c r="B403" s="245"/>
      <c r="K403" s="246"/>
    </row>
    <row r="404" spans="1:11" s="224" customFormat="1" ht="12.75">
      <c r="A404" s="245"/>
      <c r="B404" s="245"/>
      <c r="K404" s="246"/>
    </row>
    <row r="405" spans="1:11" s="224" customFormat="1" ht="12.75">
      <c r="A405" s="245"/>
      <c r="B405" s="245"/>
      <c r="K405" s="246"/>
    </row>
    <row r="406" spans="1:11" s="224" customFormat="1" ht="12.75">
      <c r="A406" s="245"/>
      <c r="B406" s="245"/>
      <c r="K406" s="246"/>
    </row>
    <row r="407" spans="1:11" s="224" customFormat="1" ht="12.75">
      <c r="A407" s="245"/>
      <c r="B407" s="245"/>
      <c r="K407" s="246"/>
    </row>
    <row r="408" spans="1:11" s="224" customFormat="1" ht="12.75">
      <c r="A408" s="245"/>
      <c r="B408" s="245"/>
      <c r="K408" s="246"/>
    </row>
    <row r="409" spans="1:11" s="224" customFormat="1" ht="12.75">
      <c r="A409" s="245"/>
      <c r="B409" s="245"/>
      <c r="K409" s="246"/>
    </row>
    <row r="410" spans="1:11" s="224" customFormat="1" ht="12.75">
      <c r="A410" s="245"/>
      <c r="B410" s="245"/>
      <c r="K410" s="246"/>
    </row>
    <row r="411" spans="1:11" s="224" customFormat="1" ht="12.75">
      <c r="A411" s="245"/>
      <c r="B411" s="245"/>
      <c r="K411" s="246"/>
    </row>
    <row r="412" spans="1:11" s="224" customFormat="1" ht="12.75">
      <c r="A412" s="245"/>
      <c r="B412" s="245"/>
      <c r="K412" s="246"/>
    </row>
    <row r="413" spans="1:11" s="224" customFormat="1" ht="12.75">
      <c r="A413" s="245"/>
      <c r="B413" s="245"/>
      <c r="K413" s="246"/>
    </row>
    <row r="414" spans="1:11" s="224" customFormat="1" ht="12.75">
      <c r="A414" s="245"/>
      <c r="B414" s="245"/>
      <c r="K414" s="246"/>
    </row>
    <row r="415" spans="1:11" s="224" customFormat="1" ht="12.75">
      <c r="A415" s="245"/>
      <c r="B415" s="245"/>
      <c r="K415" s="246"/>
    </row>
    <row r="416" spans="1:11" s="224" customFormat="1" ht="12.75">
      <c r="A416" s="245"/>
      <c r="B416" s="245"/>
      <c r="K416" s="246"/>
    </row>
    <row r="417" spans="1:11" s="224" customFormat="1" ht="12.75">
      <c r="A417" s="245"/>
      <c r="B417" s="245"/>
      <c r="K417" s="246"/>
    </row>
    <row r="418" spans="1:11" s="224" customFormat="1" ht="12.75">
      <c r="A418" s="245"/>
      <c r="B418" s="245"/>
      <c r="K418" s="246"/>
    </row>
    <row r="419" spans="1:11" s="224" customFormat="1" ht="12.75">
      <c r="A419" s="245"/>
      <c r="B419" s="245"/>
      <c r="K419" s="246"/>
    </row>
    <row r="420" spans="1:11" s="224" customFormat="1" ht="12.75">
      <c r="A420" s="245"/>
      <c r="B420" s="245"/>
      <c r="K420" s="246"/>
    </row>
    <row r="421" spans="1:11" s="224" customFormat="1" ht="12.75">
      <c r="A421" s="245"/>
      <c r="B421" s="245"/>
      <c r="K421" s="246"/>
    </row>
    <row r="422" spans="1:11" s="224" customFormat="1" ht="12.75">
      <c r="A422" s="245"/>
      <c r="B422" s="245"/>
      <c r="K422" s="246"/>
    </row>
    <row r="423" spans="34:44" ht="12.75">
      <c r="AH423" s="224"/>
      <c r="AI423" s="224"/>
      <c r="AJ423" s="224"/>
      <c r="AK423" s="224"/>
      <c r="AL423" s="224"/>
      <c r="AM423" s="224"/>
      <c r="AN423" s="224"/>
      <c r="AO423" s="224"/>
      <c r="AP423" s="224"/>
      <c r="AQ423" s="224"/>
      <c r="AR423" s="224"/>
    </row>
    <row r="424" spans="34:44" ht="12.75">
      <c r="AH424" s="224"/>
      <c r="AI424" s="224"/>
      <c r="AJ424" s="224"/>
      <c r="AK424" s="224"/>
      <c r="AL424" s="224"/>
      <c r="AM424" s="224"/>
      <c r="AN424" s="224"/>
      <c r="AO424" s="224"/>
      <c r="AP424" s="224"/>
      <c r="AQ424" s="224"/>
      <c r="AR424" s="224"/>
    </row>
    <row r="425" spans="34:44" ht="12.75">
      <c r="AH425" s="224"/>
      <c r="AI425" s="224"/>
      <c r="AJ425" s="224"/>
      <c r="AK425" s="224"/>
      <c r="AL425" s="224"/>
      <c r="AM425" s="224"/>
      <c r="AN425" s="224"/>
      <c r="AO425" s="224"/>
      <c r="AP425" s="224"/>
      <c r="AQ425" s="224"/>
      <c r="AR425" s="224"/>
    </row>
    <row r="426" spans="34:44" ht="12.75">
      <c r="AH426" s="224"/>
      <c r="AI426" s="224"/>
      <c r="AJ426" s="224"/>
      <c r="AK426" s="224"/>
      <c r="AL426" s="224"/>
      <c r="AM426" s="224"/>
      <c r="AN426" s="224"/>
      <c r="AO426" s="224"/>
      <c r="AP426" s="224"/>
      <c r="AQ426" s="224"/>
      <c r="AR426" s="224"/>
    </row>
    <row r="427" spans="34:44" ht="12.75">
      <c r="AH427" s="224"/>
      <c r="AI427" s="224"/>
      <c r="AJ427" s="224"/>
      <c r="AK427" s="224"/>
      <c r="AL427" s="224"/>
      <c r="AM427" s="224"/>
      <c r="AN427" s="224"/>
      <c r="AO427" s="224"/>
      <c r="AP427" s="224"/>
      <c r="AQ427" s="224"/>
      <c r="AR427" s="224"/>
    </row>
    <row r="428" spans="34:44" ht="12.75">
      <c r="AH428" s="224"/>
      <c r="AI428" s="224"/>
      <c r="AJ428" s="224"/>
      <c r="AK428" s="224"/>
      <c r="AL428" s="224"/>
      <c r="AM428" s="224"/>
      <c r="AN428" s="224"/>
      <c r="AO428" s="224"/>
      <c r="AP428" s="224"/>
      <c r="AQ428" s="224"/>
      <c r="AR428" s="224"/>
    </row>
    <row r="429" spans="34:44" ht="12.75">
      <c r="AH429" s="224"/>
      <c r="AI429" s="224"/>
      <c r="AJ429" s="224"/>
      <c r="AK429" s="224"/>
      <c r="AL429" s="224"/>
      <c r="AM429" s="224"/>
      <c r="AN429" s="224"/>
      <c r="AO429" s="224"/>
      <c r="AP429" s="224"/>
      <c r="AQ429" s="224"/>
      <c r="AR429" s="224"/>
    </row>
    <row r="430" spans="34:44" ht="12.75">
      <c r="AH430" s="224"/>
      <c r="AI430" s="224"/>
      <c r="AJ430" s="224"/>
      <c r="AK430" s="224"/>
      <c r="AL430" s="224"/>
      <c r="AM430" s="224"/>
      <c r="AN430" s="224"/>
      <c r="AO430" s="224"/>
      <c r="AP430" s="224"/>
      <c r="AQ430" s="224"/>
      <c r="AR430" s="224"/>
    </row>
    <row r="431" spans="34:44" ht="12.75">
      <c r="AH431" s="224"/>
      <c r="AI431" s="224"/>
      <c r="AJ431" s="224"/>
      <c r="AK431" s="224"/>
      <c r="AL431" s="224"/>
      <c r="AM431" s="224"/>
      <c r="AN431" s="224"/>
      <c r="AO431" s="224"/>
      <c r="AP431" s="224"/>
      <c r="AQ431" s="224"/>
      <c r="AR431" s="224"/>
    </row>
    <row r="432" spans="34:44" ht="12.75">
      <c r="AH432" s="224"/>
      <c r="AI432" s="224"/>
      <c r="AJ432" s="224"/>
      <c r="AK432" s="224"/>
      <c r="AL432" s="224"/>
      <c r="AM432" s="224"/>
      <c r="AN432" s="224"/>
      <c r="AO432" s="224"/>
      <c r="AP432" s="224"/>
      <c r="AQ432" s="224"/>
      <c r="AR432" s="224"/>
    </row>
    <row r="433" spans="34:44" ht="12.75">
      <c r="AH433" s="224"/>
      <c r="AI433" s="224"/>
      <c r="AJ433" s="224"/>
      <c r="AK433" s="224"/>
      <c r="AL433" s="224"/>
      <c r="AM433" s="224"/>
      <c r="AN433" s="224"/>
      <c r="AO433" s="224"/>
      <c r="AP433" s="224"/>
      <c r="AQ433" s="224"/>
      <c r="AR433" s="224"/>
    </row>
    <row r="434" spans="34:44" ht="12.75">
      <c r="AH434" s="224"/>
      <c r="AI434" s="224"/>
      <c r="AJ434" s="224"/>
      <c r="AK434" s="224"/>
      <c r="AL434" s="224"/>
      <c r="AM434" s="224"/>
      <c r="AN434" s="224"/>
      <c r="AO434" s="224"/>
      <c r="AP434" s="224"/>
      <c r="AQ434" s="224"/>
      <c r="AR434" s="224"/>
    </row>
    <row r="435" spans="34:44" ht="12.75">
      <c r="AH435" s="224"/>
      <c r="AI435" s="224"/>
      <c r="AJ435" s="224"/>
      <c r="AK435" s="224"/>
      <c r="AL435" s="224"/>
      <c r="AM435" s="224"/>
      <c r="AN435" s="224"/>
      <c r="AO435" s="224"/>
      <c r="AP435" s="224"/>
      <c r="AQ435" s="224"/>
      <c r="AR435" s="224"/>
    </row>
    <row r="436" spans="34:44" ht="12.75">
      <c r="AH436" s="224"/>
      <c r="AI436" s="224"/>
      <c r="AJ436" s="224"/>
      <c r="AK436" s="224"/>
      <c r="AL436" s="224"/>
      <c r="AM436" s="224"/>
      <c r="AN436" s="224"/>
      <c r="AO436" s="224"/>
      <c r="AP436" s="224"/>
      <c r="AQ436" s="224"/>
      <c r="AR436" s="224"/>
    </row>
    <row r="437" spans="34:44" ht="12.75">
      <c r="AH437" s="224"/>
      <c r="AI437" s="224"/>
      <c r="AJ437" s="224"/>
      <c r="AL437" s="224"/>
      <c r="AM437" s="224"/>
      <c r="AN437" s="224"/>
      <c r="AP437" s="224"/>
      <c r="AQ437" s="224"/>
      <c r="AR437" s="224"/>
    </row>
    <row r="438" spans="34:44" ht="12.75">
      <c r="AH438" s="224"/>
      <c r="AI438" s="224"/>
      <c r="AJ438" s="224"/>
      <c r="AL438" s="224"/>
      <c r="AM438" s="224"/>
      <c r="AN438" s="224"/>
      <c r="AP438" s="224"/>
      <c r="AQ438" s="224"/>
      <c r="AR438" s="224"/>
    </row>
  </sheetData>
  <sheetProtection password="DA03" sheet="1" selectLockedCells="1" selectUnlockedCells="1"/>
  <protectedRanges>
    <protectedRange sqref="A384:A386" name="Range1"/>
  </protectedRanges>
  <mergeCells count="10">
    <mergeCell ref="Y376:Z376"/>
    <mergeCell ref="Y377:Z377"/>
    <mergeCell ref="Y296:Z296"/>
    <mergeCell ref="Y297:Z297"/>
    <mergeCell ref="AN1:AO1"/>
    <mergeCell ref="G202:X205"/>
    <mergeCell ref="Y294:Z294"/>
    <mergeCell ref="Y295:Z295"/>
    <mergeCell ref="Y374:Z374"/>
    <mergeCell ref="Y375:Z37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dc:creator>
  <cp:keywords/>
  <dc:description/>
  <cp:lastModifiedBy>rathnakar</cp:lastModifiedBy>
  <cp:lastPrinted>2011-06-28T05:37:32Z</cp:lastPrinted>
  <dcterms:created xsi:type="dcterms:W3CDTF">2010-01-14T08:45:37Z</dcterms:created>
  <dcterms:modified xsi:type="dcterms:W3CDTF">2012-01-17T10:48:39Z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