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674" activeTab="0"/>
  </bookViews>
  <sheets>
    <sheet name="Instructions" sheetId="1" r:id="rId1"/>
    <sheet name="DATA" sheetId="2" r:id="rId2"/>
    <sheet name="Annexure -I" sheetId="3" r:id="rId3"/>
    <sheet name="Annexure -II" sheetId="4" r:id="rId4"/>
    <sheet name="Form 16 Page1" sheetId="5" r:id="rId5"/>
    <sheet name="Form 16 Page2" sheetId="6" r:id="rId6"/>
  </sheets>
  <externalReferences>
    <externalReference r:id="rId9"/>
  </externalReferences>
  <definedNames>
    <definedName name="_xlnm.Print_Area" localSheetId="3">'Annexure -II'!$B$2:$M$66</definedName>
    <definedName name="_xlnm.Print_Area" localSheetId="4">'Form 16 Page1'!$B$1:$N$63</definedName>
    <definedName name="_xlnm.Print_Area" localSheetId="5">'Form 16 Page2'!$B$2:$M$60</definedName>
  </definedNames>
  <calcPr fullCalcOnLoad="1"/>
</workbook>
</file>

<file path=xl/sharedStrings.xml><?xml version="1.0" encoding="utf-8"?>
<sst xmlns="http://schemas.openxmlformats.org/spreadsheetml/2006/main" count="910" uniqueCount="605">
  <si>
    <t>S.No</t>
  </si>
  <si>
    <t>Month</t>
  </si>
  <si>
    <t>Pay</t>
  </si>
  <si>
    <t>DA</t>
  </si>
  <si>
    <t>HRA</t>
  </si>
  <si>
    <t>IR</t>
  </si>
  <si>
    <t>HMA</t>
  </si>
  <si>
    <t>FPI</t>
  </si>
  <si>
    <t>PHC</t>
  </si>
  <si>
    <t>TOTAL</t>
  </si>
  <si>
    <t>GPF</t>
  </si>
  <si>
    <t>APGLIF</t>
  </si>
  <si>
    <t xml:space="preserve">GIS </t>
  </si>
  <si>
    <t>PT</t>
  </si>
  <si>
    <t>LIC</t>
  </si>
  <si>
    <t>Rented House</t>
  </si>
  <si>
    <t>h)</t>
  </si>
  <si>
    <t>SGT</t>
  </si>
  <si>
    <t>PET</t>
  </si>
  <si>
    <t>HRA Recived</t>
  </si>
  <si>
    <t>GPF Deducted</t>
  </si>
  <si>
    <t>APGLI</t>
  </si>
  <si>
    <t>GIS</t>
  </si>
  <si>
    <t>Place of Working :</t>
  </si>
  <si>
    <t>Signature of the DDO</t>
  </si>
  <si>
    <t>Surrender Leave</t>
  </si>
  <si>
    <t>Nov</t>
  </si>
  <si>
    <t>Dec</t>
  </si>
  <si>
    <t>LIC PREMIUM PAID BY HAND</t>
  </si>
  <si>
    <t>Medical Bills Exemted</t>
  </si>
  <si>
    <t>Postal LIC Premium Paid</t>
  </si>
  <si>
    <t>Yes</t>
  </si>
  <si>
    <t>No</t>
  </si>
  <si>
    <t>SA</t>
  </si>
  <si>
    <t>GHM</t>
  </si>
  <si>
    <t>Langauge Pandit</t>
  </si>
  <si>
    <t>PF Type:</t>
  </si>
  <si>
    <t>Mandal</t>
  </si>
  <si>
    <t>If any Change Mention Month</t>
  </si>
  <si>
    <t>Changed Subscription</t>
  </si>
  <si>
    <t>APGLIF Polocy No.:</t>
  </si>
  <si>
    <t>Subcrsiption</t>
  </si>
  <si>
    <t>If any Change mention Month</t>
  </si>
  <si>
    <t>Changed Subcrsiption</t>
  </si>
  <si>
    <t>A/C No.</t>
  </si>
  <si>
    <t xml:space="preserve">Add. </t>
  </si>
  <si>
    <t>Others</t>
  </si>
  <si>
    <t>Increment Month</t>
  </si>
  <si>
    <t>PHC (CA)</t>
  </si>
  <si>
    <t xml:space="preserve">Taken Promotion </t>
  </si>
  <si>
    <t>If Yes Promotion Taken on</t>
  </si>
  <si>
    <t>Promotion Fixation Option is given to</t>
  </si>
  <si>
    <t>HRA Received</t>
  </si>
  <si>
    <t>Changed to</t>
  </si>
  <si>
    <t>CCA Received</t>
  </si>
  <si>
    <t>Any Change mention Month</t>
  </si>
  <si>
    <t>80CCC</t>
  </si>
  <si>
    <t>Payment of premia for annuity The premium must plan of LIC or any other insurer, be deposited to keep Deduction is available upto a in force a contract for maximum of Rs. 10,000</t>
  </si>
  <si>
    <t>The premium must be deposited to keep in force a contract for an annuity plan of the LIC or any other insurer for receiving pension from the fund</t>
  </si>
  <si>
    <t>80D</t>
  </si>
  <si>
    <t>Payment of medical insurance premia. Deduction is available upto Rs. 10,000</t>
  </si>
  <si>
    <t>The premium is to be paid by cheque and the insurance scheme should be framed by the General Insurance Corporation of India &amp; approved by the Central Govt. or any other insurer and approved by the regulatory authority &amp; Development authority.The premium should be paid in respect of health insurance of the assessee or his family members</t>
  </si>
  <si>
    <t>80DD </t>
  </si>
  <si>
    <t>Deduction of Rs. 40,000 in respect of a) expenditure incurred on medical treatment, (including nursing), training and rehabi­litation of a handicapped dependent relative.</t>
  </si>
  <si>
    <t>The handicapped dependent should be a dependent relative suffering a perma­nent disability (including blindness) or mentally retarded, as certified by a specified physician or psychiatrist.</t>
  </si>
  <si>
    <t>b) Payment or deposit to specified scheme for maintenance of dependent handicapped relative</t>
  </si>
  <si>
    <t>Note : The new section 80DD replace the earlier sections of 80DD and 80DDA which are now clubbed together under the new section.</t>
  </si>
  <si>
    <t>80DDB</t>
  </si>
  <si>
    <t>Deduction of Rs. 40,000 in respect of medical expenditure incurred</t>
  </si>
  <si>
    <t>80E</t>
  </si>
  <si>
    <t>This provision has been introduced to provide relief to students taking loans for higher studies. The repayment of the principal amount of loan and interest thereon will be allowed as deduction upto Rs. 3.2 lakhs over a period of 8 years.</t>
  </si>
  <si>
    <t>80G</t>
  </si>
  <si>
    <t>Donations to certain funds,charitable institutions etc.</t>
  </si>
  <si>
    <t>The various donations specified in Sec.80G are eligible for deduction upto either 100% or 50% with or without restriction as provided in Sec 80G</t>
  </si>
  <si>
    <t>80GG</t>
  </si>
  <si>
    <t>Deduction available is the least of</t>
  </si>
  <si>
    <t>(i) Rent paid less 10% of total income</t>
  </si>
  <si>
    <t>(ii) Rs. 2,000 per month</t>
  </si>
  <si>
    <t>(iii) 25% of total income</t>
  </si>
  <si>
    <t>80L</t>
  </si>
  <si>
    <t>Interest/Dividend/Income from :</t>
  </si>
  <si>
    <t>Rs. 9000 plus an addition deduction of Rs. 3000 allowed in respect of interest on any Central/State Govt. Securities</t>
  </si>
  <si>
    <t>a) any Govt. Security (Central or State)</t>
  </si>
  <si>
    <t xml:space="preserve">b) NSC, VI, VII &amp; VIII issues </t>
  </si>
  <si>
    <t>d)  Notified   National   Deposit Scheme</t>
  </si>
  <si>
    <t>h) deposits with banks established under any law made by Parliament.</t>
  </si>
  <si>
    <t>i)     Deposits   with     financial corporations approved by Central Government </t>
  </si>
  <si>
    <t>j)   Deposits   with   any   authority constituted in India under any law for   planning,development   or  improvement of cities, towns and villages etc.</t>
  </si>
  <si>
    <t>k) Deposits with co-op. Societies.</t>
  </si>
  <si>
    <t>1)   Deposits,   with   any   public companies   providing   long   term finance for construction or purchase of houses.</t>
  </si>
  <si>
    <t>m) Income from U.T.I.</t>
  </si>
  <si>
    <t>n) Income from Units of Mutual Fund specified under clause (23D) of Sec. 10.</t>
  </si>
  <si>
    <t>80U</t>
  </si>
  <si>
    <t>Deduction of Rs. 40,000/- to an individual who suffers from a physical disability (including blindness) or mental retardation</t>
  </si>
  <si>
    <t>Certificate should be obtained from a Govt. Doctor. The relevant rule is Rule 11D.</t>
  </si>
  <si>
    <t>Section</t>
  </si>
  <si>
    <t> Nature of Deduction</t>
  </si>
  <si>
    <t>Remarks</t>
  </si>
  <si>
    <t>Deduction in respect of repayment of loan taken upto Rs. 40,000 per year.</t>
  </si>
  <si>
    <t>2)  He should not be in  receipt  of house rent allowance.</t>
  </si>
  <si>
    <t>3)   He   should   not have a self occupied residential premises in any other place</t>
  </si>
  <si>
    <t>c)Notified  debentures   of public sector undertakings,cooperative societies/Land mortgage bank or land development bank.</t>
  </si>
  <si>
    <t>e)  Any other deposit Scheme framed by Central Govt. and notified.</t>
  </si>
  <si>
    <t>f)Deposit   under   Post   Office Monthly Income Account   rules,1987</t>
  </si>
  <si>
    <t>g)Deposits with banking companies, banking co-op, societie, land mortgage or land development bank.</t>
  </si>
  <si>
    <t>Infrastructure bonds under Section 80CCF</t>
  </si>
  <si>
    <t>Main features of this new section and new notification is given below.</t>
  </si>
  <si>
    <t>1. New section can be availed by individual or HUF only.</t>
  </si>
  <si>
    <t>2. Rs.20,000/- can be invested in a Financial year to avail deduction under section 80CCF</t>
  </si>
  <si>
    <t>3. Rs.20000/- Limit is in addition to Rs.1,00,000/- Limit of section 80C,80CCC &amp; 80CCD</t>
  </si>
  <si>
    <t>4. Tenure of the Bonds will be 10 Years.</t>
  </si>
  <si>
    <t>5. However Lock in period is 5 years, after 5 years investor can withdraw money from the bonds</t>
  </si>
  <si>
    <t>6. After lock in period, Investor can take loan against these Bonds</t>
  </si>
  <si>
    <t>7. Issuer of the Bonds is LIC, IFCI, IDFC and other NBFC classified as infrastructure company.</t>
  </si>
  <si>
    <t>8. Permanent account Number is must to apply these bonds.</t>
  </si>
  <si>
    <t>9.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</si>
  <si>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Section 80CCF of the Income-tax Act, 1961 – Deduction – In respect of subscription to long-term infrastructure bonds – Notified long-term infrastructure bond</t>
  </si>
  <si>
    <t>In exercise of the powers conferred by section 80CCF of the Income-tax Act, 1961 (43 of 1961), the Central Government hereby specifies bonds, subject to the following conditions, as long-term infrastructure bonds for the purposes of the said section namely :-</t>
  </si>
  <si>
    <t>(a) Name of the bond – The name of the bond shall be “Long-term Infrastructure Bond”.</t>
  </si>
  <si>
    <t>(b) Issuer of the bond – The bond shall be issued by :-</t>
  </si>
  <si>
    <t>(i) Industrial Finance Corporation of India;</t>
  </si>
  <si>
    <t>(ii) Life Insurance Corporation of India;</t>
  </si>
  <si>
    <t>(iii) Infrastructure Development Finance Company Limited;</t>
  </si>
  <si>
    <t>(iv) a Non-Banking Finance Company classified as an Infrastructure Finance Company by the Reserve Bank of India;</t>
  </si>
  <si>
    <t>(ii) the volume of issuance during the financial year shall be restricted to twenty-five per cent of the incremental infrastructure investments made by the issuer during the financial year 2009-10;</t>
  </si>
  <si>
    <t>(iii) ‘Investment’ for the purposes of this limit include loans, bonds, other forms of debt, quasi-equity, preference equity and equity.</t>
  </si>
  <si>
    <t>(d) Tenure of the bond. – (i) A minimum period of ten years:</t>
  </si>
  <si>
    <t>(ii) the minimum lock-in period for an investor shall be five years:</t>
  </si>
  <si>
    <t>(iii) after the lock in, the investor may exit either through the secondary market or through a buyback facility, specified by the issuer in the issue document at the time of issue;</t>
  </si>
  <si>
    <t>(iv) the bond shall also be allowed as pledge or lien or hypothecation for obtaining loans from Scheduled Commercial Banks, after the said lock-in period;</t>
  </si>
  <si>
    <t>(e) Permanent Account Number (PAN) to be furnished – It shall be mandatory for the subscribers to furnish there PAN to the issuer;</t>
  </si>
  <si>
    <t>(f)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</si>
  <si>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(ii) the end-use shall be duly reported in the Annual Reports and other reports submitted by the issuer to the Regulatory Authority concerned, and specifically certified by the Statutory Auditor of the issuer;</t>
  </si>
  <si>
    <t>(iii) the issuer shall also file these along with term sheets to the Infrastructure Division, Department of Economic Affairs, Ministry of Finance within three months from the end of financial year.</t>
  </si>
  <si>
    <t>(i) The bond will be issued during financial year 2010-11;</t>
  </si>
  <si>
    <t xml:space="preserve">(c) Limit on issuance – </t>
  </si>
  <si>
    <t>(g) End-use of proceeds and reporting or monitoring mechanism – (i) The proceeds shall be utilizes towards ‘ infrastructure lending’ as defined by the Reserve Bank of India in the Guidelines : issued by it.</t>
  </si>
  <si>
    <r>
      <t>1) Assessee or his total spouse or minor child should not own residential accommodation   at the place of employment.</t>
    </r>
    <r>
      <rPr>
        <sz val="9"/>
        <color indexed="8"/>
        <rFont val="Verdana"/>
        <family val="2"/>
      </rPr>
      <t xml:space="preserve"> </t>
    </r>
  </si>
  <si>
    <r>
      <t>CBDT has notified New infrastructure Bonds</t>
    </r>
    <r>
      <rPr>
        <sz val="11"/>
        <color theme="1"/>
        <rFont val="Calibri"/>
        <family val="2"/>
      </rPr>
      <t xml:space="preserve"> </t>
    </r>
    <r>
      <rPr>
        <u val="single"/>
        <sz val="11"/>
        <color indexed="8"/>
        <rFont val="Calibri"/>
        <family val="2"/>
      </rPr>
      <t>(Notification No. 48/2010[F.No.149/84/2010-SO(TPL)], dated 9-7-2010</t>
    </r>
    <r>
      <rPr>
        <sz val="11"/>
        <color theme="1"/>
        <rFont val="Calibri"/>
        <family val="2"/>
      </rPr>
      <t xml:space="preserve">) </t>
    </r>
    <r>
      <rPr>
        <sz val="11"/>
        <color theme="1"/>
        <rFont val="Calibri"/>
        <family val="2"/>
      </rPr>
      <t>u/s 80CCF. An Individual or HUF can invest in these new infrastructure Bonds upto Rs.20,000/- in a Financial years.</t>
    </r>
  </si>
  <si>
    <t>Sri.</t>
  </si>
  <si>
    <t>Smt.</t>
  </si>
  <si>
    <t>Kum.</t>
  </si>
  <si>
    <t>AG GPF</t>
  </si>
  <si>
    <t>ZP GPF</t>
  </si>
  <si>
    <t>CPS</t>
  </si>
  <si>
    <t>Jr. Asst</t>
  </si>
  <si>
    <t>Office Subordinate</t>
  </si>
  <si>
    <t>Record Asst.</t>
  </si>
  <si>
    <t>April,10</t>
  </si>
  <si>
    <t>May,10</t>
  </si>
  <si>
    <t>June,10</t>
  </si>
  <si>
    <t>July,10</t>
  </si>
  <si>
    <t>Aug,10</t>
  </si>
  <si>
    <t>Sept,10</t>
  </si>
  <si>
    <t>Oct,10</t>
  </si>
  <si>
    <t>Nov,10</t>
  </si>
  <si>
    <t>Dec,10</t>
  </si>
  <si>
    <t>Jan,11</t>
  </si>
  <si>
    <t>Feb,11</t>
  </si>
  <si>
    <t>No Change</t>
  </si>
  <si>
    <t>GLI</t>
  </si>
  <si>
    <t>March,10</t>
  </si>
  <si>
    <t>8Years</t>
  </si>
  <si>
    <t>Promotion</t>
  </si>
  <si>
    <t>03</t>
  </si>
  <si>
    <t>04</t>
  </si>
  <si>
    <t>05</t>
  </si>
  <si>
    <t>06</t>
  </si>
  <si>
    <t>07</t>
  </si>
  <si>
    <t>08</t>
  </si>
  <si>
    <t>09</t>
  </si>
  <si>
    <t>10</t>
  </si>
  <si>
    <t>11</t>
  </si>
  <si>
    <t>12</t>
  </si>
  <si>
    <t>01</t>
  </si>
  <si>
    <t>02</t>
  </si>
  <si>
    <t>Basic Pay</t>
  </si>
  <si>
    <t>PF Subscription</t>
  </si>
  <si>
    <t>No Increment</t>
  </si>
  <si>
    <t>00</t>
  </si>
  <si>
    <t>Jan,10</t>
  </si>
  <si>
    <t>Feb,10</t>
  </si>
  <si>
    <t>Name of the Employee</t>
  </si>
  <si>
    <t>Pr.by Putta Srinivas Reddy (9849025860)</t>
  </si>
  <si>
    <t>Not Availed</t>
  </si>
  <si>
    <r>
      <t xml:space="preserve">E.L </t>
    </r>
    <r>
      <rPr>
        <sz val="9"/>
        <color indexed="8"/>
        <rFont val="Verdana"/>
        <family val="2"/>
      </rPr>
      <t>Surrender</t>
    </r>
  </si>
  <si>
    <t>Total</t>
  </si>
  <si>
    <t>Increment</t>
  </si>
  <si>
    <t xml:space="preserve">Designation : </t>
  </si>
  <si>
    <t>Inc</t>
  </si>
  <si>
    <t>8yrs</t>
  </si>
  <si>
    <t>prom</t>
  </si>
  <si>
    <t>8yrs/prm</t>
  </si>
  <si>
    <t>Addl.</t>
  </si>
  <si>
    <t>SWF &amp; EWF</t>
  </si>
  <si>
    <t>LIC (SSS)</t>
  </si>
  <si>
    <t>Gross Total</t>
  </si>
  <si>
    <t>Total Deductions</t>
  </si>
  <si>
    <t>Signature of the Assese</t>
  </si>
  <si>
    <t>Changed CCA</t>
  </si>
  <si>
    <t>CCA</t>
  </si>
  <si>
    <t>B.Pay</t>
  </si>
  <si>
    <t>Bpay</t>
  </si>
  <si>
    <t>DA Arrears</t>
  </si>
  <si>
    <t>Sorren</t>
  </si>
  <si>
    <t>Tobe</t>
  </si>
  <si>
    <t>Tober</t>
  </si>
  <si>
    <t>Already</t>
  </si>
  <si>
    <t>Children Education Fee Concession</t>
  </si>
  <si>
    <t>Other Arrears</t>
  </si>
  <si>
    <t>SAVINGS</t>
  </si>
  <si>
    <t>Limit</t>
  </si>
  <si>
    <t>Tuition Fee- Two Children</t>
  </si>
  <si>
    <t>80C</t>
  </si>
  <si>
    <t>National Savings Certificates (NSC)</t>
  </si>
  <si>
    <t>Repayment of Home Loan Principle</t>
  </si>
  <si>
    <t>LIC Insurance Premium- Annual</t>
  </si>
  <si>
    <t>Unit linked Insurance Plan</t>
  </si>
  <si>
    <t>Public Provident Fund</t>
  </si>
  <si>
    <t>ULIP</t>
  </si>
  <si>
    <t>PLI</t>
  </si>
  <si>
    <t>Equity linked Savings Schemes (ELSS)</t>
  </si>
  <si>
    <t>5-Years fixed deposits with bank/post office</t>
  </si>
  <si>
    <t>Infrasture Bonds ( LIC, IDBI, IFCI,etc)</t>
  </si>
  <si>
    <t>80CCF</t>
  </si>
  <si>
    <t>LIC / UTI  etc. Pension funds</t>
  </si>
  <si>
    <t>Repayement of Home Loan Premium</t>
  </si>
  <si>
    <t>National Savings Certificate</t>
  </si>
  <si>
    <t>LIC Annual Premiums Paid by Hand</t>
  </si>
  <si>
    <t>PLI Annual Premuim</t>
  </si>
  <si>
    <t>Unit Linked Insurance Plan</t>
  </si>
  <si>
    <t xml:space="preserve">5 Years Fixed Deposits </t>
  </si>
  <si>
    <t>Equity Linked Savings Scheme</t>
  </si>
  <si>
    <t>LIC Salary Savings Scheme(SSS)</t>
  </si>
  <si>
    <t>ANNEXURE - II</t>
  </si>
  <si>
    <t>2011-2012</t>
  </si>
  <si>
    <t>Name</t>
  </si>
  <si>
    <t>School</t>
  </si>
  <si>
    <t>Designation</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</si>
  <si>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</si>
  <si>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</si>
  <si>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</si>
  <si>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</si>
  <si>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</si>
  <si>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</si>
  <si>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</si>
  <si>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</si>
  <si>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</si>
  <si>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</si>
  <si>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</si>
  <si>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Rent paid in excess of 10% Salary</t>
  </si>
  <si>
    <t>Profession Tax U/s 16 (3) B</t>
  </si>
  <si>
    <t>Income From Salary (4-5)</t>
  </si>
  <si>
    <t>Add: Income From other sources</t>
  </si>
  <si>
    <t>Add: Income From Capital Gains</t>
  </si>
  <si>
    <t>Gross Total Income  (6+7+8+9)</t>
  </si>
  <si>
    <t>Deductions</t>
  </si>
  <si>
    <t>d)</t>
  </si>
  <si>
    <t>e)</t>
  </si>
  <si>
    <t>f)</t>
  </si>
  <si>
    <t>g)</t>
  </si>
  <si>
    <t>E.W.F, &amp; S.W.F</t>
  </si>
  <si>
    <t>TOTAL-----------</t>
  </si>
  <si>
    <t>Gross Total Income  (10-11)</t>
  </si>
  <si>
    <t>Savings U/s 80C (Limited to One lakh)</t>
  </si>
  <si>
    <t>LIC Premium Deducted in Salary Savings Scheme</t>
  </si>
  <si>
    <t>i)</t>
  </si>
  <si>
    <t>j)</t>
  </si>
  <si>
    <t>k)</t>
  </si>
  <si>
    <t>Total Savings</t>
  </si>
  <si>
    <t>Tax on Income</t>
  </si>
  <si>
    <t>Nil</t>
  </si>
  <si>
    <t>Rs.5,00,001 To 8,00,000.   (@ 20%)</t>
  </si>
  <si>
    <t>Education Cess @ 1%</t>
  </si>
  <si>
    <t>Secondary &amp; Higher Education Cess @ 2%</t>
  </si>
  <si>
    <t>Total Tax Payable (15+16+17)</t>
  </si>
  <si>
    <t>Upto</t>
  </si>
  <si>
    <t>Up to Rs. 1,90,000</t>
  </si>
  <si>
    <t>Rs.1,90,001 To 5,00,000. (@ 10%)</t>
  </si>
  <si>
    <t>Signature of the Drawing Officer</t>
  </si>
  <si>
    <t>Signature of the Employee</t>
  </si>
  <si>
    <t xml:space="preserve">Children Tution Fee </t>
  </si>
  <si>
    <t>Interest on Educational Loan</t>
  </si>
  <si>
    <t>Interest on Housing Loan Advance</t>
  </si>
  <si>
    <t>Medical treatment of Handicapped/Dependent</t>
  </si>
  <si>
    <t>Medical Insurance Premium</t>
  </si>
  <si>
    <t>Medical Insurance Premium-S.Citizens</t>
  </si>
  <si>
    <t>Expenditure on medical treatment</t>
  </si>
  <si>
    <t>Expenditure on medical treatment S.Citizen</t>
  </si>
  <si>
    <t>Donation of Charitable Institution</t>
  </si>
  <si>
    <t>Payments made to Electoral Trusts</t>
  </si>
  <si>
    <t>)</t>
  </si>
  <si>
    <t xml:space="preserve">Leaving in </t>
  </si>
  <si>
    <t>Own House</t>
  </si>
  <si>
    <t>Others       (</t>
  </si>
  <si>
    <r>
      <t>Net Taxable Income (12-13)</t>
    </r>
    <r>
      <rPr>
        <b/>
        <sz val="9"/>
        <rFont val="Book Antiqua"/>
        <family val="1"/>
      </rPr>
      <t xml:space="preserve"> rounded to nearest Rs.10/-</t>
    </r>
  </si>
  <si>
    <t xml:space="preserve">(Rent: @ </t>
  </si>
  <si>
    <t>/-PM)</t>
  </si>
  <si>
    <t>Income from House Property U/s 24(vi)</t>
  </si>
  <si>
    <t>above Rs.8,00,001.          (@ 30%)</t>
  </si>
  <si>
    <t>Advance Tax Paid</t>
  </si>
  <si>
    <t>P</t>
  </si>
  <si>
    <t>R</t>
  </si>
  <si>
    <t>T</t>
  </si>
  <si>
    <t>U</t>
  </si>
  <si>
    <t>Details of Advance Tax Deductions</t>
  </si>
  <si>
    <t>Total Advance Tax    Rs.</t>
  </si>
  <si>
    <t>Tax to be Paid now</t>
  </si>
  <si>
    <t>………………………………………………………………………………………………………………………………</t>
  </si>
  <si>
    <t>Certificate under section 203 of the Income-tax Act, 1961                                                                                                                    for Tax deducted at source from income chargeable under the head "Salaries"</t>
  </si>
  <si>
    <t>NAME AND ADDRESS OF THE EMPLOYER</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</si>
  <si>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</si>
  <si>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</si>
  <si>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</si>
  <si>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</si>
  <si>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</si>
  <si>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</si>
  <si>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</si>
  <si>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</si>
  <si>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</si>
  <si>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</si>
  <si>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</si>
  <si>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</si>
  <si>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</si>
  <si>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</si>
  <si>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</si>
  <si>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</si>
  <si>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</si>
  <si>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</si>
  <si>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</si>
  <si>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</si>
  <si>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</si>
  <si>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</si>
  <si>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</si>
  <si>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</si>
  <si>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</si>
  <si>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</si>
  <si>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</si>
  <si>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</si>
  <si>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</si>
  <si>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</si>
  <si>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</si>
  <si>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</si>
  <si>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</si>
  <si>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</si>
  <si>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</si>
  <si>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</si>
  <si>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</si>
  <si>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</si>
  <si>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</si>
  <si>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</si>
  <si>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</si>
  <si>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</si>
  <si>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</si>
  <si>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</si>
  <si>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</si>
  <si>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LIC Premium Deducted in SSS</t>
  </si>
  <si>
    <t>v</t>
  </si>
  <si>
    <t>vi</t>
  </si>
  <si>
    <t>vii</t>
  </si>
  <si>
    <t>viii</t>
  </si>
  <si>
    <t>ix</t>
  </si>
  <si>
    <t>x</t>
  </si>
  <si>
    <t>Total Under Section 80C…</t>
  </si>
  <si>
    <t>Section 80CCC</t>
  </si>
  <si>
    <t>Section 80CCD</t>
  </si>
  <si>
    <t>Contribution to Pension Fund</t>
  </si>
  <si>
    <r>
      <t>Aggrigate Amount Deductible Under 3 Sections</t>
    </r>
    <r>
      <rPr>
        <sz val="11"/>
        <rFont val="Book Antiqua"/>
        <family val="1"/>
      </rPr>
      <t>………………………………………………….</t>
    </r>
  </si>
  <si>
    <t>Note:</t>
  </si>
  <si>
    <t>1.aggregate amount deductible under section 80c shall not exceed one lakh rupees.</t>
  </si>
  <si>
    <t>2.aggregate amount deductible under section 80C,80CCC,80CCD, shall not exceed one lakh rupees.</t>
  </si>
  <si>
    <t>Tuition Fee</t>
  </si>
  <si>
    <t>Repayment of Home Loan installments</t>
  </si>
  <si>
    <t>LIC Insurance premiums</t>
  </si>
  <si>
    <t>Infrasture Bonds ( ICICI/IDBI,etc)</t>
  </si>
  <si>
    <t>Name of the DDO</t>
  </si>
  <si>
    <t>Employee PAN No.</t>
  </si>
  <si>
    <t>DDO TAN No.</t>
  </si>
  <si>
    <t>xi</t>
  </si>
  <si>
    <t>B)</t>
  </si>
  <si>
    <t>Other Sections Under Chapter VI A</t>
  </si>
  <si>
    <t>( Under Sections 80E,80G,80DD etc )</t>
  </si>
  <si>
    <t>EWF &amp; SWF</t>
  </si>
  <si>
    <t>Total Under Sections 80G,80E,80DD etc…..</t>
  </si>
  <si>
    <t>Aggregate of Deductible Amounts U/Chapter VIA (A+B)………</t>
  </si>
  <si>
    <t>TOTAL INCOME  (8-10)</t>
  </si>
  <si>
    <t>TAX ON TOTAL INCOME Rs.</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</si>
  <si>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</si>
  <si>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</si>
  <si>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</si>
  <si>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</si>
  <si>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</si>
  <si>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</si>
  <si>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</si>
  <si>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</si>
  <si>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</si>
  <si>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</si>
  <si>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</si>
  <si>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</si>
  <si>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</si>
  <si>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</si>
  <si>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</si>
  <si>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</si>
  <si>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</si>
  <si>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</si>
  <si>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</si>
  <si>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</si>
  <si>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</si>
  <si>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</si>
  <si>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</si>
  <si>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</si>
  <si>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</si>
  <si>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</si>
  <si>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</si>
  <si>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</si>
  <si>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</si>
  <si>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t>
  </si>
  <si>
    <t>Sign--</t>
  </si>
  <si>
    <t>Place:</t>
  </si>
  <si>
    <t>Signature of the person responsible for deduction of tax</t>
  </si>
  <si>
    <t>Date:</t>
  </si>
  <si>
    <t>Full Name--</t>
  </si>
  <si>
    <t>Designation-</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</si>
  <si>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</si>
  <si>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</si>
  <si>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</si>
  <si>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</si>
  <si>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</si>
  <si>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</si>
  <si>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</si>
  <si>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</si>
  <si>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</si>
  <si>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</si>
  <si>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</si>
  <si>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</si>
  <si>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</si>
  <si>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</si>
  <si>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</si>
  <si>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</si>
  <si>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</si>
  <si>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</si>
  <si>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</si>
  <si>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</si>
  <si>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</si>
  <si>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</si>
  <si>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</si>
  <si>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</si>
  <si>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</si>
  <si>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</si>
  <si>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</si>
  <si>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</si>
  <si>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</si>
  <si>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</si>
  <si>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</si>
  <si>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</si>
  <si>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</si>
  <si>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</si>
  <si>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</si>
  <si>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</si>
  <si>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</si>
  <si>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</si>
  <si>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</si>
  <si>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</si>
  <si>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</si>
  <si>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</si>
  <si>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</si>
  <si>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</si>
  <si>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</si>
  <si>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</si>
  <si>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</si>
  <si>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</si>
  <si>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</si>
  <si>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</si>
  <si>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</si>
  <si>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</si>
  <si>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</si>
  <si>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</si>
  <si>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</si>
  <si>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</si>
  <si>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</si>
  <si>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</si>
  <si>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</si>
  <si>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</si>
  <si>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</si>
  <si>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</si>
  <si>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</si>
  <si>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</si>
  <si>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</si>
  <si>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</si>
  <si>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</si>
  <si>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</si>
  <si>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</si>
  <si>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</si>
  <si>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</si>
  <si>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</si>
  <si>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</si>
  <si>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</si>
  <si>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</si>
  <si>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</si>
  <si>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</si>
  <si>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</si>
  <si>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</si>
  <si>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</si>
  <si>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</si>
  <si>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</si>
  <si>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</si>
  <si>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</si>
  <si>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</si>
  <si>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</si>
  <si>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</si>
  <si>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</si>
  <si>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</si>
  <si>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</si>
  <si>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</si>
  <si>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</si>
  <si>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</si>
  <si>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</si>
  <si>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</si>
  <si>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</si>
  <si>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</si>
  <si>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</si>
  <si>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</si>
  <si>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AAS</t>
  </si>
  <si>
    <t>Prom</t>
  </si>
  <si>
    <t>A/c (</t>
  </si>
  <si>
    <t>Pol. No.(</t>
  </si>
  <si>
    <t>LFLHM</t>
  </si>
  <si>
    <t>Programmed Developed By:</t>
  </si>
  <si>
    <t>PUTTA SRINIVAS REDDY</t>
  </si>
  <si>
    <t>98490 25860</t>
  </si>
  <si>
    <t>Income from House Property Rs.</t>
  </si>
  <si>
    <t>Number</t>
  </si>
  <si>
    <t>Rupees in Words Conversion</t>
  </si>
  <si>
    <t>Mandal Educational Officer</t>
  </si>
  <si>
    <t>Expenditure must be actually incurred by resident assessee on himself or dependant relative for medical treatment of specified disease or ailment. The diseases have been specified in Rule HDD. A certificate in form 10 i is to be furnished by the assessee from any registered doctor</t>
  </si>
  <si>
    <t>Employee PAN Number</t>
  </si>
  <si>
    <t>Basic Pay as on February,11</t>
  </si>
  <si>
    <t>April,11</t>
  </si>
  <si>
    <t>May,11</t>
  </si>
  <si>
    <t>June,11</t>
  </si>
  <si>
    <t>July,11</t>
  </si>
  <si>
    <t>Aug,11</t>
  </si>
  <si>
    <t>Sept,11</t>
  </si>
  <si>
    <t>Oct,11</t>
  </si>
  <si>
    <t>Nov,11</t>
  </si>
  <si>
    <t>Dec,11</t>
  </si>
  <si>
    <t>Jan,12</t>
  </si>
  <si>
    <t>Feb,12</t>
  </si>
  <si>
    <t>March,11</t>
  </si>
  <si>
    <t>10/12</t>
  </si>
  <si>
    <t>12.5/14.5</t>
  </si>
  <si>
    <t>Basic Pay as on January,11</t>
  </si>
  <si>
    <t>15 Days - July,11</t>
  </si>
  <si>
    <t>30 Days - July,11</t>
  </si>
  <si>
    <t>15 Days - Aug,11</t>
  </si>
  <si>
    <t>30 Days - Aug,11</t>
  </si>
  <si>
    <t>15 Days - Sept,11</t>
  </si>
  <si>
    <t>30 Days - Sept,11</t>
  </si>
  <si>
    <t>15 Days - Oct,11</t>
  </si>
  <si>
    <t>30 Days - Oct,11</t>
  </si>
  <si>
    <t>15 Days - Nov,11</t>
  </si>
  <si>
    <t>30 Days - Nov,11</t>
  </si>
  <si>
    <t>15 Days - Dec,11</t>
  </si>
  <si>
    <t>30 Days - Dec,11</t>
  </si>
  <si>
    <t>15 Days - Jan,12</t>
  </si>
  <si>
    <t>30 Days - Jan,12</t>
  </si>
  <si>
    <t>30 Days - Feb,12</t>
  </si>
  <si>
    <t>15 Days - Feb,12</t>
  </si>
  <si>
    <t>15 Days - March,11</t>
  </si>
  <si>
    <t>30 Days - April,11</t>
  </si>
  <si>
    <t>30 Days - March,11</t>
  </si>
  <si>
    <t>15 Days - April,11</t>
  </si>
  <si>
    <t>15 Days - May,11</t>
  </si>
  <si>
    <t>30 Days - May,11</t>
  </si>
  <si>
    <t>15 Days - June,11</t>
  </si>
  <si>
    <t>30 Days - June,11</t>
  </si>
  <si>
    <t>Up to Rs. 1,80,000</t>
  </si>
  <si>
    <t>Rs.1,80,001 To 5,00,000.    (@ 10%)</t>
  </si>
  <si>
    <t>Programme Developed by : www.prtunzb.webs.com</t>
  </si>
  <si>
    <t>Progrmme developed by www.prtunzb.webs.com (Putta Srinivas Reddy 98490 25860)</t>
  </si>
  <si>
    <t>Long Term Savings under 80CCF</t>
  </si>
  <si>
    <t>Income Tax</t>
  </si>
  <si>
    <t>Mar,11</t>
  </si>
  <si>
    <t>Apr,11</t>
  </si>
  <si>
    <t>INCOME TAX CALCULATION FOR THE YEAR 2011-12</t>
  </si>
  <si>
    <r>
      <t>FORM No. 16</t>
    </r>
    <r>
      <rPr>
        <sz val="14"/>
        <rFont val="Book Antiqua"/>
        <family val="1"/>
      </rPr>
      <t xml:space="preserve">                                                                                                                                                                                                                       ( Vide rule 31(1)(a) of Income Tax Rules, 1962 )</t>
    </r>
  </si>
  <si>
    <t>DA Arrears                                                               (Jan,11 to Apr,11)</t>
  </si>
  <si>
    <t>Creditted in P.F if any</t>
  </si>
  <si>
    <t>Income Tax 2011-12 Assesment</t>
  </si>
  <si>
    <t>DA 35.952% Arrears Claimed</t>
  </si>
  <si>
    <t>DA Arrears                                                             (July,11 to Oct,11)</t>
  </si>
  <si>
    <t xml:space="preserve">AAS  Arrears </t>
  </si>
  <si>
    <t>AAS(6/12/18/24) Drawn Month            (If Pay has  not enhanced show it as 'No')</t>
  </si>
  <si>
    <t>Other Allows</t>
  </si>
  <si>
    <t>DDO Designation</t>
  </si>
  <si>
    <t>DDO Office</t>
  </si>
  <si>
    <t>General Secretary, PRTU DMK</t>
  </si>
  <si>
    <t>Mandal Educational Office</t>
  </si>
  <si>
    <t>AAS (6/12/18/24) Arrears if any</t>
  </si>
  <si>
    <t>Other Arrears Creditted If any</t>
  </si>
  <si>
    <t>Creditted in PF</t>
  </si>
  <si>
    <t>D.Latha</t>
  </si>
  <si>
    <t>M.P.P.School.Enikepadu</t>
  </si>
  <si>
    <t>vijayavada</t>
  </si>
  <si>
    <t>R.Narasimharao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</si>
</sst>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409]dddd\,\ mmmm\ dd\,\ yyyy"/>
    <numFmt numFmtId="179" formatCode="[$-409]h:mm:ss\ AM/PM"/>
    <numFmt numFmtId="180" formatCode="[$-409]d\-mmm\-yyyy;@"/>
    <numFmt numFmtId="181" formatCode="0.000"/>
  </numFmts>
  <fonts count="107">
    <font>
      <sz val="11"/>
      <color theme="1"/>
      <name val="Calibri"/>
      <family val="2"/>
    </font>
    <font>
      <sz val="11"/>
      <color indexed="8"/>
      <name val="Calibri"/>
      <family val="2"/>
    </font>
    <font>
      <sz val="8"/>
      <name val="Calibri"/>
      <family val="2"/>
    </font>
    <font>
      <b/>
      <sz val="10"/>
      <color indexed="8"/>
      <name val="Verdana"/>
      <family val="2"/>
    </font>
    <font>
      <b/>
      <sz val="10"/>
      <color indexed="8"/>
      <name val="Times New Roman"/>
      <family val="1"/>
    </font>
    <font>
      <b/>
      <sz val="12"/>
      <color indexed="8"/>
      <name val="Times New Roman"/>
      <family val="1"/>
    </font>
    <font>
      <b/>
      <sz val="12"/>
      <name val="Times New Roman"/>
      <family val="1"/>
    </font>
    <font>
      <b/>
      <sz val="10"/>
      <name val="Times New Roman"/>
      <family val="1"/>
    </font>
    <font>
      <b/>
      <sz val="11"/>
      <color indexed="8"/>
      <name val="Times New Roman"/>
      <family val="1"/>
    </font>
    <font>
      <b/>
      <sz val="10"/>
      <color indexed="8"/>
      <name val="Tahoma"/>
      <family val="2"/>
    </font>
    <font>
      <sz val="10"/>
      <color indexed="8"/>
      <name val="Times New Roman"/>
      <family val="1"/>
    </font>
    <font>
      <sz val="9"/>
      <color indexed="8"/>
      <name val="Verdana"/>
      <family val="2"/>
    </font>
    <font>
      <u val="single"/>
      <sz val="11"/>
      <color indexed="8"/>
      <name val="Calibri"/>
      <family val="2"/>
    </font>
    <font>
      <b/>
      <sz val="9"/>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4"/>
      <color indexed="9"/>
      <name val="Arial"/>
      <family val="2"/>
    </font>
    <font>
      <b/>
      <sz val="10"/>
      <color indexed="9"/>
      <name val="Arial"/>
      <family val="2"/>
    </font>
    <font>
      <b/>
      <sz val="9"/>
      <color indexed="10"/>
      <name val="Arial"/>
      <family val="2"/>
    </font>
    <font>
      <b/>
      <sz val="9"/>
      <name val="Arial"/>
      <family val="2"/>
    </font>
    <font>
      <b/>
      <sz val="20"/>
      <color indexed="8"/>
      <name val="Verdana"/>
      <family val="2"/>
    </font>
    <font>
      <b/>
      <sz val="10"/>
      <name val="Arial"/>
      <family val="2"/>
    </font>
    <font>
      <sz val="10"/>
      <name val="Tahoma"/>
      <family val="2"/>
    </font>
    <font>
      <b/>
      <sz val="10"/>
      <name val="Verdana"/>
      <family val="2"/>
    </font>
    <font>
      <sz val="10"/>
      <name val="Arial"/>
      <family val="2"/>
    </font>
    <font>
      <b/>
      <sz val="10"/>
      <name val="Book Antiqua"/>
      <family val="1"/>
    </font>
    <font>
      <b/>
      <sz val="9"/>
      <name val="Book Antiqua"/>
      <family val="1"/>
    </font>
    <font>
      <sz val="11"/>
      <name val="Book Antiqua"/>
      <family val="1"/>
    </font>
    <font>
      <b/>
      <sz val="11"/>
      <name val="Book Antiqua"/>
      <family val="1"/>
    </font>
    <font>
      <sz val="9"/>
      <name val="Book Antiqua"/>
      <family val="1"/>
    </font>
    <font>
      <sz val="8"/>
      <name val="Book Antiqua"/>
      <family val="1"/>
    </font>
    <font>
      <b/>
      <sz val="12"/>
      <name val="Book Antiqua"/>
      <family val="1"/>
    </font>
    <font>
      <sz val="16"/>
      <name val="Book Antiqua"/>
      <family val="1"/>
    </font>
    <font>
      <sz val="12"/>
      <name val="Book Antiqua"/>
      <family val="1"/>
    </font>
    <font>
      <b/>
      <sz val="13"/>
      <name val="Book Antiqua"/>
      <family val="1"/>
    </font>
    <font>
      <sz val="14"/>
      <name val="Book Antiqua"/>
      <family val="1"/>
    </font>
    <font>
      <b/>
      <sz val="14"/>
      <color indexed="8"/>
      <name val="Verdana"/>
      <family val="2"/>
    </font>
    <font>
      <b/>
      <sz val="16"/>
      <color indexed="8"/>
      <name val="Verdana"/>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0"/>
      <color indexed="8"/>
      <name val="Verdana"/>
      <family val="2"/>
    </font>
    <font>
      <b/>
      <u val="single"/>
      <sz val="18"/>
      <color indexed="8"/>
      <name val="Arial"/>
      <family val="2"/>
    </font>
    <font>
      <b/>
      <sz val="10"/>
      <color indexed="8"/>
      <name val="Arial"/>
      <family val="2"/>
    </font>
    <font>
      <b/>
      <sz val="10"/>
      <color indexed="56"/>
      <name val="Verdana"/>
      <family val="2"/>
    </font>
    <font>
      <b/>
      <sz val="12"/>
      <color indexed="56"/>
      <name val="Verdana"/>
      <family val="2"/>
    </font>
    <font>
      <sz val="11"/>
      <color indexed="56"/>
      <name val="Calibri"/>
      <family val="2"/>
    </font>
    <font>
      <u val="single"/>
      <sz val="10"/>
      <color indexed="8"/>
      <name val="Arial"/>
      <family val="2"/>
    </font>
    <font>
      <b/>
      <sz val="10"/>
      <color indexed="10"/>
      <name val="Arial"/>
      <family val="2"/>
    </font>
    <font>
      <sz val="10"/>
      <color indexed="10"/>
      <name val="Arial"/>
      <family val="2"/>
    </font>
    <font>
      <b/>
      <sz val="22"/>
      <color indexed="9"/>
      <name val="Verdana"/>
      <family val="2"/>
    </font>
    <font>
      <b/>
      <sz val="10"/>
      <color indexed="10"/>
      <name val="Verdana"/>
      <family val="2"/>
    </font>
    <font>
      <b/>
      <sz val="8"/>
      <color indexed="8"/>
      <name val="Verdana"/>
      <family val="2"/>
    </font>
    <font>
      <b/>
      <sz val="9"/>
      <color indexed="8"/>
      <name val="Tahoma"/>
      <family val="2"/>
    </font>
    <font>
      <sz val="8"/>
      <color indexed="8"/>
      <name val="Arial Narrow"/>
      <family val="2"/>
    </font>
    <font>
      <sz val="9"/>
      <color indexed="8"/>
      <name val="Arial Narrow"/>
      <family val="2"/>
    </font>
    <font>
      <sz val="9"/>
      <color indexed="8"/>
      <name val="Book Antiqua"/>
      <family val="1"/>
    </font>
    <font>
      <sz val="9"/>
      <color indexed="8"/>
      <name val="Times New Roman"/>
      <family val="1"/>
    </font>
    <font>
      <b/>
      <sz val="14"/>
      <name val="Book Antiqua"/>
      <family val="1"/>
    </font>
    <font>
      <sz val="6"/>
      <color indexed="8"/>
      <name val="Arial Narrow"/>
      <family val="2"/>
    </font>
    <font>
      <sz val="11"/>
      <color indexed="10"/>
      <name val="Calibri"/>
      <family val="2"/>
    </font>
    <font>
      <b/>
      <sz val="10"/>
      <color indexed="10"/>
      <name val="Times New Roman"/>
      <family val="1"/>
    </font>
    <font>
      <b/>
      <sz val="12"/>
      <color indexed="10"/>
      <name val="Verdana"/>
      <family val="2"/>
    </font>
    <font>
      <b/>
      <sz val="13.5"/>
      <color indexed="8"/>
      <name val="Verdana"/>
      <family val="2"/>
    </font>
    <font>
      <b/>
      <sz val="12"/>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4"/>
      <color indexed="10"/>
      <name val="Times New Roman"/>
      <family val="1"/>
    </font>
    <font>
      <b/>
      <sz val="12"/>
      <color indexed="9"/>
      <name val="Verdana"/>
      <family val="2"/>
    </font>
    <font>
      <b/>
      <sz val="9"/>
      <color indexed="9"/>
      <name val="Verdan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2"/>
      <color theme="0"/>
      <name val="Verdana"/>
      <family val="2"/>
    </font>
    <font>
      <b/>
      <sz val="9"/>
      <color theme="0"/>
      <name val="Verdana"/>
      <family val="2"/>
    </font>
    <font>
      <b/>
      <sz val="14"/>
      <color rgb="FFFF0000"/>
      <name val="Times New Roman"/>
      <family val="1"/>
    </font>
    <font>
      <b/>
      <sz val="12"/>
      <color rgb="FFFF0000"/>
      <name val="Verdan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6"/>
        <bgColor indexed="64"/>
      </patternFill>
    </fill>
    <fill>
      <patternFill patternType="solid">
        <fgColor indexed="41"/>
        <bgColor indexed="64"/>
      </patternFill>
    </fill>
    <fill>
      <patternFill patternType="solid">
        <fgColor indexed="8"/>
        <bgColor indexed="64"/>
      </patternFill>
    </fill>
    <fill>
      <patternFill patternType="solid">
        <fgColor indexed="62"/>
        <bgColor indexed="64"/>
      </patternFill>
    </fill>
    <fill>
      <patternFill patternType="solid">
        <fgColor indexed="55"/>
        <bgColor indexed="64"/>
      </patternFill>
    </fill>
    <fill>
      <patternFill patternType="solid">
        <fgColor indexed="13"/>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indexed="11"/>
        <bgColor indexed="64"/>
      </patternFill>
    </fill>
    <fill>
      <patternFill patternType="solid">
        <fgColor rgb="FFFF0000"/>
        <bgColor indexed="64"/>
      </patternFill>
    </fill>
    <fill>
      <patternFill patternType="solid">
        <fgColor rgb="FFFF00FF"/>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hair"/>
      <right style="hair"/>
      <top style="thin"/>
      <bottom style="thin"/>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color indexed="63"/>
      </left>
      <right style="medium"/>
      <top style="medium"/>
      <bottom>
        <color indexed="63"/>
      </botto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double"/>
      <right>
        <color indexed="63"/>
      </right>
      <top>
        <color indexed="63"/>
      </top>
      <bottom style="double"/>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double"/>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color indexed="63"/>
      </left>
      <right style="double"/>
      <top style="hair"/>
      <bottom style="hair"/>
    </border>
    <border>
      <left style="double"/>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thin"/>
      <right>
        <color indexed="63"/>
      </right>
      <top style="thin"/>
      <bottom style="hair"/>
    </border>
    <border>
      <left>
        <color indexed="63"/>
      </left>
      <right style="double"/>
      <top style="thin"/>
      <bottom style="hair"/>
    </border>
    <border>
      <left>
        <color indexed="63"/>
      </left>
      <right style="double"/>
      <top style="hair"/>
      <bottom style="thin"/>
    </border>
    <border>
      <left>
        <color indexed="63"/>
      </left>
      <right style="double"/>
      <top style="thin"/>
      <bottom>
        <color indexed="63"/>
      </bottom>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color indexed="63"/>
      </left>
      <right style="double"/>
      <top style="thin"/>
      <bottom style="thin"/>
    </border>
    <border>
      <left style="hair"/>
      <right>
        <color indexed="63"/>
      </right>
      <top style="hair"/>
      <bottom style="hair"/>
    </border>
    <border>
      <left style="double"/>
      <right style="thin"/>
      <top>
        <color indexed="63"/>
      </top>
      <bottom style="thin"/>
    </border>
    <border>
      <left style="double"/>
      <right>
        <color indexed="63"/>
      </right>
      <top style="thin"/>
      <bottom style="thin"/>
    </border>
    <border>
      <left>
        <color indexed="63"/>
      </left>
      <right style="hair"/>
      <top style="thin"/>
      <bottom style="thin"/>
    </border>
    <border>
      <left style="double"/>
      <right style="thin"/>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color indexed="63"/>
      </right>
      <top style="thin"/>
      <bottom>
        <color indexed="63"/>
      </bottom>
    </border>
    <border>
      <left style="double"/>
      <right>
        <color indexed="63"/>
      </right>
      <top style="double"/>
      <bottom>
        <color indexed="63"/>
      </bottom>
    </border>
    <border>
      <left style="double"/>
      <right style="thin"/>
      <top style="thin"/>
      <bottom style="thin"/>
    </border>
    <border>
      <left style="double"/>
      <right>
        <color indexed="63"/>
      </right>
      <top style="thin"/>
      <bottom style="hair"/>
    </border>
    <border>
      <left>
        <color indexed="63"/>
      </left>
      <right style="double"/>
      <top style="medium"/>
      <bottom style="medium"/>
    </border>
    <border>
      <left style="double"/>
      <right>
        <color indexed="63"/>
      </right>
      <top style="medium"/>
      <bottom style="medium"/>
    </border>
  </borders>
  <cellStyleXfs count="56">
    <xf numFmtId="0" fontId="0" fillId="0" borderId="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32" borderId="7" applyNumberFormat="0" applyFont="0" applyAlignment="0" applyProtection="0"/>
    <xf numFmtId="0" fontId="100" fillId="27" borderId="8" applyNumberFormat="0" applyAlignment="0" applyProtection="0"/>
    <xf numFmtId="0" fontId="101" fillId="0" borderId="0" applyNumberFormat="0" applyFill="0" applyBorder="0" applyAlignment="0" applyProtection="0"/>
    <xf numFmtId="0" fontId="102" fillId="0" borderId="9" applyNumberFormat="0" applyFill="0" applyAlignment="0" applyProtection="0"/>
    <xf numFmtId="0" fontId="64" fillId="0" borderId="0" applyFont="0" applyBorder="0" applyAlignment="0" applyProtection="0"/>
  </cellStyleXfs>
  <cellXfs count="731">
    <xf numFmtId="0" fontId="0" fillId="0" borderId="0" xfId="0" applyFont="1" applyAlignment="1">
      <alignment/>
    </xf>
    <xf numFmtId="0" fontId="3" fillId="33" borderId="0" xfId="0" applyFont="1" applyFill="1" applyAlignment="1">
      <alignment vertical="center"/>
    </xf>
    <xf numFmtId="0" fontId="3" fillId="33" borderId="0" xfId="0" applyFont="1" applyFill="1" applyAlignment="1">
      <alignment horizontal="right" vertical="center"/>
    </xf>
    <xf numFmtId="0" fontId="3" fillId="33" borderId="0" xfId="0" applyFont="1" applyFill="1" applyBorder="1" applyAlignment="1">
      <alignment vertical="center"/>
    </xf>
    <xf numFmtId="0" fontId="4" fillId="33" borderId="0" xfId="0" applyFont="1" applyFill="1" applyAlignment="1">
      <alignment horizontal="left" vertical="center" wrapText="1"/>
    </xf>
    <xf numFmtId="0" fontId="3" fillId="33" borderId="10"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left" vertical="center" wrapText="1"/>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0" xfId="0" applyFont="1" applyFill="1" applyBorder="1" applyAlignment="1">
      <alignment horizontal="left" vertical="center" indent="1"/>
    </xf>
    <xf numFmtId="0" fontId="3" fillId="33" borderId="19" xfId="0" applyFont="1" applyFill="1" applyBorder="1" applyAlignment="1">
      <alignment vertical="center"/>
    </xf>
    <xf numFmtId="0" fontId="3" fillId="33" borderId="20" xfId="0" applyFont="1" applyFill="1" applyBorder="1" applyAlignment="1">
      <alignment horizontal="left" vertical="center" wrapText="1"/>
    </xf>
    <xf numFmtId="0" fontId="0" fillId="33" borderId="0" xfId="0" applyFill="1" applyAlignment="1">
      <alignment horizontal="left" vertical="center"/>
    </xf>
    <xf numFmtId="0" fontId="45" fillId="33" borderId="20" xfId="0" applyFont="1" applyFill="1" applyBorder="1" applyAlignment="1">
      <alignment horizontal="left" vertical="center" wrapText="1"/>
    </xf>
    <xf numFmtId="0" fontId="45" fillId="33" borderId="21" xfId="0" applyFont="1" applyFill="1" applyBorder="1" applyAlignment="1">
      <alignment horizontal="left" vertical="center" wrapText="1"/>
    </xf>
    <xf numFmtId="0" fontId="45" fillId="33" borderId="22"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45" fillId="33" borderId="23" xfId="0" applyFont="1" applyFill="1" applyBorder="1" applyAlignment="1">
      <alignment horizontal="left" vertical="center" wrapText="1"/>
    </xf>
    <xf numFmtId="0" fontId="45" fillId="33" borderId="24" xfId="0" applyFont="1" applyFill="1" applyBorder="1" applyAlignment="1">
      <alignment horizontal="left" vertical="center" wrapText="1"/>
    </xf>
    <xf numFmtId="0" fontId="45" fillId="33" borderId="0" xfId="0" applyFont="1" applyFill="1" applyBorder="1" applyAlignment="1">
      <alignment horizontal="left" vertical="center" wrapText="1"/>
    </xf>
    <xf numFmtId="0" fontId="45" fillId="33" borderId="25" xfId="0" applyFont="1" applyFill="1" applyBorder="1" applyAlignment="1">
      <alignment horizontal="left" vertical="center" wrapText="1"/>
    </xf>
    <xf numFmtId="0" fontId="46" fillId="33" borderId="0" xfId="0" applyFont="1" applyFill="1" applyAlignment="1">
      <alignment horizontal="left" vertical="center"/>
    </xf>
    <xf numFmtId="0" fontId="47" fillId="33" borderId="0" xfId="0" applyFont="1" applyFill="1" applyAlignment="1">
      <alignment horizontal="left" vertical="center" wrapText="1"/>
    </xf>
    <xf numFmtId="0" fontId="0" fillId="33" borderId="0" xfId="0" applyFill="1" applyAlignment="1">
      <alignment horizontal="left" vertical="center" wrapText="1"/>
    </xf>
    <xf numFmtId="0" fontId="48" fillId="33" borderId="20" xfId="0" applyFont="1" applyFill="1" applyBorder="1" applyAlignment="1">
      <alignment horizontal="left" vertical="center" wrapText="1"/>
    </xf>
    <xf numFmtId="0" fontId="49" fillId="33" borderId="26" xfId="0" applyFont="1" applyFill="1" applyBorder="1" applyAlignment="1">
      <alignment horizontal="left" vertical="center" wrapText="1"/>
    </xf>
    <xf numFmtId="0" fontId="49" fillId="33" borderId="22" xfId="0" applyFont="1" applyFill="1" applyBorder="1" applyAlignment="1">
      <alignment horizontal="left" vertical="center" wrapText="1"/>
    </xf>
    <xf numFmtId="0" fontId="49" fillId="33" borderId="27" xfId="0" applyFont="1" applyFill="1" applyBorder="1" applyAlignment="1">
      <alignment horizontal="left" vertical="center" wrapText="1"/>
    </xf>
    <xf numFmtId="0" fontId="50" fillId="33" borderId="0" xfId="0" applyFont="1" applyFill="1" applyAlignment="1">
      <alignment horizontal="left" vertical="center"/>
    </xf>
    <xf numFmtId="0" fontId="0" fillId="34" borderId="0" xfId="0" applyFill="1" applyAlignment="1">
      <alignment horizontal="left" vertical="center"/>
    </xf>
    <xf numFmtId="0" fontId="51" fillId="34" borderId="0" xfId="0" applyFont="1" applyFill="1" applyAlignment="1">
      <alignment horizontal="left" vertical="center"/>
    </xf>
    <xf numFmtId="0" fontId="3" fillId="33" borderId="16" xfId="0" applyFont="1" applyFill="1" applyBorder="1" applyAlignment="1">
      <alignment vertical="center"/>
    </xf>
    <xf numFmtId="0" fontId="3" fillId="33" borderId="28" xfId="0" applyFont="1" applyFill="1" applyBorder="1" applyAlignment="1">
      <alignment vertical="center"/>
    </xf>
    <xf numFmtId="0" fontId="13" fillId="33" borderId="14" xfId="0" applyFont="1" applyFill="1" applyBorder="1" applyAlignment="1">
      <alignment vertical="center" wrapText="1"/>
    </xf>
    <xf numFmtId="0" fontId="3" fillId="35" borderId="0" xfId="0" applyFont="1" applyFill="1" applyAlignment="1">
      <alignment vertical="center"/>
    </xf>
    <xf numFmtId="0" fontId="4" fillId="35" borderId="0" xfId="0" applyFont="1" applyFill="1" applyAlignment="1">
      <alignment horizontal="left" vertical="center" wrapText="1"/>
    </xf>
    <xf numFmtId="0" fontId="3" fillId="35" borderId="0" xfId="0" applyFont="1" applyFill="1" applyAlignment="1">
      <alignment horizontal="right" vertical="center"/>
    </xf>
    <xf numFmtId="0" fontId="49" fillId="33" borderId="20" xfId="0" applyFont="1" applyFill="1" applyBorder="1" applyAlignment="1">
      <alignment horizontal="left" vertical="center" wrapText="1"/>
    </xf>
    <xf numFmtId="0" fontId="45" fillId="33" borderId="29" xfId="0" applyFont="1" applyFill="1" applyBorder="1" applyAlignment="1">
      <alignment horizontal="left" vertical="center" wrapText="1"/>
    </xf>
    <xf numFmtId="0" fontId="45" fillId="33" borderId="19" xfId="0" applyFont="1" applyFill="1" applyBorder="1" applyAlignment="1">
      <alignment horizontal="left" vertical="center" wrapText="1"/>
    </xf>
    <xf numFmtId="0" fontId="9" fillId="33" borderId="18"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5" fillId="0" borderId="0" xfId="0" applyFont="1" applyAlignment="1">
      <alignment vertical="center"/>
    </xf>
    <xf numFmtId="0" fontId="15" fillId="0" borderId="20" xfId="0" applyFont="1" applyBorder="1" applyAlignment="1">
      <alignment horizontal="center" vertical="center"/>
    </xf>
    <xf numFmtId="17" fontId="15" fillId="0" borderId="20" xfId="0" applyNumberFormat="1" applyFont="1" applyBorder="1" applyAlignment="1">
      <alignment horizontal="center" vertical="center"/>
    </xf>
    <xf numFmtId="0" fontId="15" fillId="0" borderId="0" xfId="0" applyFont="1" applyAlignment="1">
      <alignment horizontal="center" vertical="center"/>
    </xf>
    <xf numFmtId="0" fontId="3" fillId="33" borderId="24" xfId="0" applyFont="1" applyFill="1" applyBorder="1" applyAlignment="1">
      <alignment horizontal="left" vertical="center" indent="1"/>
    </xf>
    <xf numFmtId="0" fontId="20" fillId="36" borderId="20" xfId="0" applyFont="1" applyFill="1" applyBorder="1" applyAlignment="1">
      <alignment horizontal="left" vertical="center"/>
    </xf>
    <xf numFmtId="3" fontId="20" fillId="36" borderId="20" xfId="0" applyNumberFormat="1" applyFont="1" applyFill="1" applyBorder="1" applyAlignment="1">
      <alignment horizontal="left" vertical="center"/>
    </xf>
    <xf numFmtId="3" fontId="20" fillId="36" borderId="20" xfId="0" applyNumberFormat="1" applyFont="1" applyFill="1" applyBorder="1" applyAlignment="1">
      <alignment horizontal="left" vertical="center" wrapText="1"/>
    </xf>
    <xf numFmtId="0" fontId="18" fillId="37" borderId="26" xfId="0" applyFont="1" applyFill="1" applyBorder="1" applyAlignment="1">
      <alignment horizontal="left" vertical="center"/>
    </xf>
    <xf numFmtId="0" fontId="19" fillId="37" borderId="30" xfId="0" applyFont="1" applyFill="1" applyBorder="1" applyAlignment="1">
      <alignment horizontal="left" vertical="center"/>
    </xf>
    <xf numFmtId="0" fontId="19" fillId="37" borderId="21" xfId="0" applyFont="1" applyFill="1" applyBorder="1" applyAlignment="1">
      <alignment horizontal="left" vertical="center"/>
    </xf>
    <xf numFmtId="0" fontId="21" fillId="36" borderId="20" xfId="0" applyFont="1" applyFill="1" applyBorder="1" applyAlignment="1">
      <alignment horizontal="left" vertical="center"/>
    </xf>
    <xf numFmtId="0" fontId="23" fillId="33" borderId="0" xfId="0" applyFont="1" applyFill="1" applyAlignment="1" applyProtection="1">
      <alignment horizontal="left" vertical="center"/>
      <protection locked="0"/>
    </xf>
    <xf numFmtId="0" fontId="3" fillId="33" borderId="11" xfId="0" applyFont="1" applyFill="1" applyBorder="1" applyAlignment="1">
      <alignment horizontal="right" vertical="center" indent="1"/>
    </xf>
    <xf numFmtId="0" fontId="26" fillId="33" borderId="0" xfId="0" applyFont="1" applyFill="1" applyBorder="1" applyAlignment="1" applyProtection="1">
      <alignment horizontal="left" vertical="center"/>
      <protection locked="0"/>
    </xf>
    <xf numFmtId="1" fontId="26" fillId="33" borderId="0" xfId="0" applyNumberFormat="1" applyFont="1" applyFill="1" applyBorder="1" applyAlignment="1" applyProtection="1">
      <alignment horizontal="left" vertical="center"/>
      <protection locked="0"/>
    </xf>
    <xf numFmtId="0" fontId="26" fillId="33" borderId="31" xfId="0" applyFont="1" applyFill="1" applyBorder="1" applyAlignment="1" applyProtection="1">
      <alignment horizontal="left" vertical="center"/>
      <protection locked="0"/>
    </xf>
    <xf numFmtId="1" fontId="26" fillId="33" borderId="31" xfId="0" applyNumberFormat="1" applyFont="1" applyFill="1" applyBorder="1" applyAlignment="1" applyProtection="1">
      <alignment horizontal="left" vertical="center"/>
      <protection locked="0"/>
    </xf>
    <xf numFmtId="0" fontId="52" fillId="33" borderId="28" xfId="0" applyFont="1" applyFill="1" applyBorder="1" applyAlignment="1" applyProtection="1">
      <alignment horizontal="left" vertical="center"/>
      <protection locked="0"/>
    </xf>
    <xf numFmtId="0" fontId="26" fillId="33" borderId="28" xfId="0" applyFont="1" applyFill="1" applyBorder="1" applyAlignment="1" applyProtection="1">
      <alignment horizontal="left" vertical="center"/>
      <protection locked="0"/>
    </xf>
    <xf numFmtId="1" fontId="26" fillId="33" borderId="28" xfId="0" applyNumberFormat="1" applyFont="1" applyFill="1" applyBorder="1" applyAlignment="1" applyProtection="1">
      <alignment horizontal="left" vertical="center"/>
      <protection locked="0"/>
    </xf>
    <xf numFmtId="0" fontId="53" fillId="33" borderId="28" xfId="0" applyFont="1" applyFill="1" applyBorder="1" applyAlignment="1" applyProtection="1">
      <alignment horizontal="left" vertical="center"/>
      <protection locked="0"/>
    </xf>
    <xf numFmtId="0" fontId="16" fillId="0" borderId="0" xfId="0" applyFont="1" applyAlignment="1">
      <alignment/>
    </xf>
    <xf numFmtId="0" fontId="27" fillId="0" borderId="0" xfId="0" applyFont="1" applyAlignment="1">
      <alignment/>
    </xf>
    <xf numFmtId="0" fontId="16" fillId="0" borderId="0" xfId="0" applyFont="1" applyBorder="1" applyAlignment="1">
      <alignment/>
    </xf>
    <xf numFmtId="0" fontId="16" fillId="0" borderId="0" xfId="0" applyFont="1" applyBorder="1" applyAlignment="1">
      <alignment horizontal="center"/>
    </xf>
    <xf numFmtId="0" fontId="27" fillId="0" borderId="0" xfId="0" applyFont="1" applyBorder="1" applyAlignment="1">
      <alignment horizontal="center" vertical="top"/>
    </xf>
    <xf numFmtId="0" fontId="16" fillId="0" borderId="0" xfId="0" applyFont="1" applyBorder="1" applyAlignment="1">
      <alignment horizontal="left" vertical="center"/>
    </xf>
    <xf numFmtId="0" fontId="31" fillId="0" borderId="0" xfId="0" applyFont="1" applyBorder="1" applyAlignment="1">
      <alignment horizontal="center"/>
    </xf>
    <xf numFmtId="3" fontId="28" fillId="0" borderId="0" xfId="0" applyNumberFormat="1" applyFont="1" applyBorder="1" applyAlignment="1">
      <alignment/>
    </xf>
    <xf numFmtId="0" fontId="27" fillId="0" borderId="0" xfId="0" applyFont="1" applyBorder="1" applyAlignment="1">
      <alignment horizontal="center"/>
    </xf>
    <xf numFmtId="3" fontId="31" fillId="0" borderId="0" xfId="0" applyNumberFormat="1" applyFont="1" applyBorder="1" applyAlignment="1">
      <alignment/>
    </xf>
    <xf numFmtId="1" fontId="16" fillId="0" borderId="0" xfId="0" applyNumberFormat="1" applyFont="1" applyAlignment="1">
      <alignment/>
    </xf>
    <xf numFmtId="0" fontId="31" fillId="0" borderId="0" xfId="0" applyFont="1" applyBorder="1" applyAlignment="1">
      <alignment/>
    </xf>
    <xf numFmtId="0" fontId="16" fillId="0" borderId="0" xfId="0" applyFont="1" applyBorder="1" applyAlignment="1">
      <alignment horizontal="left"/>
    </xf>
    <xf numFmtId="0" fontId="31" fillId="0" borderId="0" xfId="0" applyFont="1" applyBorder="1" applyAlignment="1">
      <alignment horizontal="left"/>
    </xf>
    <xf numFmtId="0" fontId="29" fillId="0" borderId="0" xfId="0" applyFont="1" applyBorder="1" applyAlignment="1">
      <alignment/>
    </xf>
    <xf numFmtId="3" fontId="31" fillId="0" borderId="0" xfId="0" applyNumberFormat="1" applyFont="1" applyBorder="1" applyAlignment="1">
      <alignment horizontal="right" vertical="center"/>
    </xf>
    <xf numFmtId="3" fontId="28" fillId="0" borderId="0" xfId="0" applyNumberFormat="1" applyFont="1" applyBorder="1" applyAlignment="1">
      <alignment horizontal="right"/>
    </xf>
    <xf numFmtId="0" fontId="28" fillId="0" borderId="0" xfId="0" applyFont="1" applyBorder="1" applyAlignment="1">
      <alignment horizontal="left"/>
    </xf>
    <xf numFmtId="3" fontId="16" fillId="0" borderId="0" xfId="0" applyNumberFormat="1" applyFont="1" applyAlignment="1">
      <alignment/>
    </xf>
    <xf numFmtId="0" fontId="31" fillId="0" borderId="32" xfId="0" applyFont="1" applyBorder="1" applyAlignment="1">
      <alignment horizontal="center"/>
    </xf>
    <xf numFmtId="3" fontId="27" fillId="0" borderId="0" xfId="0" applyNumberFormat="1" applyFont="1" applyBorder="1" applyAlignment="1">
      <alignment/>
    </xf>
    <xf numFmtId="3" fontId="28" fillId="0" borderId="33" xfId="0" applyNumberFormat="1" applyFont="1" applyBorder="1" applyAlignment="1">
      <alignment/>
    </xf>
    <xf numFmtId="0" fontId="28" fillId="0" borderId="32" xfId="0" applyFont="1" applyBorder="1" applyAlignment="1">
      <alignment horizontal="left"/>
    </xf>
    <xf numFmtId="0" fontId="28" fillId="0" borderId="33" xfId="0" applyFont="1" applyBorder="1" applyAlignment="1">
      <alignment horizontal="center"/>
    </xf>
    <xf numFmtId="0" fontId="28" fillId="0" borderId="0" xfId="0" applyFont="1" applyBorder="1" applyAlignment="1">
      <alignment horizontal="center"/>
    </xf>
    <xf numFmtId="0" fontId="31" fillId="0" borderId="34" xfId="0" applyFont="1" applyBorder="1" applyAlignment="1">
      <alignment horizontal="left"/>
    </xf>
    <xf numFmtId="0" fontId="31" fillId="0" borderId="34" xfId="0" applyFont="1" applyBorder="1" applyAlignment="1">
      <alignment/>
    </xf>
    <xf numFmtId="0" fontId="27" fillId="0" borderId="34" xfId="0" applyFont="1" applyBorder="1" applyAlignment="1">
      <alignment horizontal="center"/>
    </xf>
    <xf numFmtId="3" fontId="27" fillId="0" borderId="34" xfId="0" applyNumberFormat="1" applyFont="1" applyBorder="1" applyAlignment="1">
      <alignment/>
    </xf>
    <xf numFmtId="3" fontId="28" fillId="0" borderId="35" xfId="0" applyNumberFormat="1" applyFont="1" applyBorder="1" applyAlignment="1">
      <alignment/>
    </xf>
    <xf numFmtId="0" fontId="27" fillId="0" borderId="0" xfId="0" applyFont="1" applyBorder="1" applyAlignment="1">
      <alignment/>
    </xf>
    <xf numFmtId="3" fontId="16" fillId="0" borderId="0" xfId="0" applyNumberFormat="1" applyFont="1" applyBorder="1" applyAlignment="1">
      <alignment/>
    </xf>
    <xf numFmtId="3" fontId="30" fillId="0" borderId="0" xfId="0" applyNumberFormat="1" applyFont="1" applyBorder="1" applyAlignment="1">
      <alignment/>
    </xf>
    <xf numFmtId="3" fontId="29" fillId="0" borderId="0" xfId="0" applyNumberFormat="1" applyFont="1" applyBorder="1" applyAlignment="1">
      <alignment/>
    </xf>
    <xf numFmtId="0" fontId="30" fillId="0" borderId="0" xfId="0" applyFont="1" applyBorder="1" applyAlignment="1">
      <alignment/>
    </xf>
    <xf numFmtId="169" fontId="16" fillId="0" borderId="0" xfId="0" applyNumberFormat="1" applyFont="1" applyAlignment="1">
      <alignment/>
    </xf>
    <xf numFmtId="0" fontId="4" fillId="33" borderId="12" xfId="0" applyFont="1" applyFill="1" applyBorder="1" applyAlignment="1">
      <alignment horizontal="left" vertical="center" wrapText="1"/>
    </xf>
    <xf numFmtId="0" fontId="3" fillId="35" borderId="36" xfId="0" applyFont="1" applyFill="1" applyBorder="1" applyAlignment="1">
      <alignment vertical="center"/>
    </xf>
    <xf numFmtId="0" fontId="3" fillId="35" borderId="37" xfId="0" applyFont="1" applyFill="1" applyBorder="1" applyAlignment="1">
      <alignment vertical="center"/>
    </xf>
    <xf numFmtId="0" fontId="3" fillId="35" borderId="38" xfId="0" applyFont="1" applyFill="1" applyBorder="1" applyAlignment="1">
      <alignment vertical="center"/>
    </xf>
    <xf numFmtId="0" fontId="54" fillId="38" borderId="39" xfId="0" applyFont="1" applyFill="1" applyBorder="1" applyAlignment="1">
      <alignment horizontal="center" vertical="center"/>
    </xf>
    <xf numFmtId="0" fontId="54" fillId="38" borderId="40" xfId="0" applyFont="1" applyFill="1" applyBorder="1" applyAlignment="1">
      <alignment horizontal="center" vertical="center"/>
    </xf>
    <xf numFmtId="0" fontId="15" fillId="0" borderId="41" xfId="0" applyFont="1" applyBorder="1" applyAlignment="1">
      <alignment vertical="center"/>
    </xf>
    <xf numFmtId="0" fontId="15" fillId="0" borderId="41" xfId="0" applyFont="1" applyBorder="1" applyAlignment="1">
      <alignment horizontal="center"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33" fillId="0" borderId="0" xfId="0" applyFont="1" applyBorder="1" applyAlignment="1">
      <alignment horizontal="center" vertical="center"/>
    </xf>
    <xf numFmtId="0" fontId="31" fillId="0" borderId="0" xfId="0" applyFont="1" applyBorder="1" applyAlignment="1">
      <alignment vertical="center"/>
    </xf>
    <xf numFmtId="3" fontId="31" fillId="0" borderId="0" xfId="0" applyNumberFormat="1" applyFont="1" applyBorder="1" applyAlignment="1">
      <alignment vertical="center"/>
    </xf>
    <xf numFmtId="0" fontId="28" fillId="0" borderId="0" xfId="0" applyFont="1" applyBorder="1" applyAlignment="1">
      <alignment vertical="center"/>
    </xf>
    <xf numFmtId="3" fontId="28" fillId="0" borderId="0" xfId="0" applyNumberFormat="1" applyFont="1" applyBorder="1" applyAlignment="1">
      <alignment vertical="center"/>
    </xf>
    <xf numFmtId="0" fontId="29" fillId="0" borderId="0" xfId="0" applyFont="1" applyBorder="1" applyAlignment="1">
      <alignment horizontal="left"/>
    </xf>
    <xf numFmtId="0" fontId="35" fillId="0" borderId="0" xfId="0" applyFont="1" applyBorder="1" applyAlignment="1">
      <alignment horizontal="center"/>
    </xf>
    <xf numFmtId="0" fontId="34" fillId="0" borderId="0" xfId="0" applyFont="1" applyBorder="1" applyAlignment="1">
      <alignment horizontal="center" vertical="center" wrapText="1"/>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7" fillId="0" borderId="0" xfId="0" applyFont="1" applyBorder="1" applyAlignment="1">
      <alignment horizontal="center" vertical="center"/>
    </xf>
    <xf numFmtId="0" fontId="30" fillId="0" borderId="0" xfId="0" applyFont="1" applyBorder="1" applyAlignment="1">
      <alignment vertical="center"/>
    </xf>
    <xf numFmtId="0" fontId="32" fillId="0" borderId="0" xfId="0" applyFont="1" applyBorder="1" applyAlignment="1">
      <alignment horizontal="left" vertical="center"/>
    </xf>
    <xf numFmtId="0" fontId="32" fillId="0" borderId="0" xfId="0" applyFont="1" applyAlignment="1">
      <alignment horizontal="left" vertical="center"/>
    </xf>
    <xf numFmtId="1" fontId="16" fillId="0" borderId="0" xfId="0" applyNumberFormat="1" applyFont="1" applyBorder="1" applyAlignment="1">
      <alignment/>
    </xf>
    <xf numFmtId="169" fontId="27" fillId="0" borderId="0" xfId="0" applyNumberFormat="1" applyFont="1" applyBorder="1" applyAlignment="1">
      <alignment vertical="center"/>
    </xf>
    <xf numFmtId="169" fontId="27" fillId="0" borderId="0" xfId="0" applyNumberFormat="1" applyFont="1" applyBorder="1" applyAlignment="1">
      <alignment/>
    </xf>
    <xf numFmtId="3" fontId="27" fillId="0" borderId="0" xfId="0" applyNumberFormat="1" applyFont="1" applyBorder="1" applyAlignment="1">
      <alignment horizontal="right"/>
    </xf>
    <xf numFmtId="0" fontId="35" fillId="0" borderId="0" xfId="0" applyFont="1" applyBorder="1" applyAlignment="1">
      <alignment horizontal="left"/>
    </xf>
    <xf numFmtId="0" fontId="33" fillId="0" borderId="0" xfId="0" applyFont="1" applyBorder="1" applyAlignment="1">
      <alignment horizontal="center"/>
    </xf>
    <xf numFmtId="0" fontId="29" fillId="0" borderId="0" xfId="0" applyFont="1" applyBorder="1" applyAlignment="1">
      <alignment horizontal="center"/>
    </xf>
    <xf numFmtId="0" fontId="16" fillId="0" borderId="0" xfId="0" applyFont="1" applyAlignment="1">
      <alignment horizontal="center"/>
    </xf>
    <xf numFmtId="0" fontId="27" fillId="0" borderId="0" xfId="0" applyFont="1" applyBorder="1" applyAlignment="1">
      <alignment vertical="center"/>
    </xf>
    <xf numFmtId="1" fontId="30" fillId="0" borderId="0" xfId="0" applyNumberFormat="1" applyFont="1" applyBorder="1" applyAlignment="1">
      <alignment/>
    </xf>
    <xf numFmtId="3" fontId="16" fillId="0" borderId="0" xfId="0" applyNumberFormat="1" applyFont="1" applyBorder="1" applyAlignment="1">
      <alignment horizontal="right" vertical="center"/>
    </xf>
    <xf numFmtId="0" fontId="36" fillId="0" borderId="0" xfId="0" applyFont="1" applyBorder="1" applyAlignment="1">
      <alignment horizontal="center"/>
    </xf>
    <xf numFmtId="0" fontId="32" fillId="0" borderId="0" xfId="0" applyFont="1" applyBorder="1" applyAlignment="1">
      <alignment horizontal="center"/>
    </xf>
    <xf numFmtId="1" fontId="29" fillId="0" borderId="0" xfId="0" applyNumberFormat="1" applyFont="1" applyBorder="1" applyAlignment="1">
      <alignment/>
    </xf>
    <xf numFmtId="0" fontId="29" fillId="0" borderId="0" xfId="0" applyFont="1" applyBorder="1" applyAlignment="1">
      <alignment horizontal="right"/>
    </xf>
    <xf numFmtId="0" fontId="29" fillId="0" borderId="0" xfId="0" applyFont="1" applyAlignment="1">
      <alignment/>
    </xf>
    <xf numFmtId="0" fontId="16" fillId="0" borderId="0" xfId="0" applyFont="1" applyBorder="1" applyAlignment="1" applyProtection="1">
      <alignment horizontal="center" vertical="center"/>
      <protection hidden="1"/>
    </xf>
    <xf numFmtId="0" fontId="16" fillId="0" borderId="0" xfId="0" applyFont="1" applyBorder="1" applyAlignment="1" applyProtection="1">
      <alignment/>
      <protection hidden="1"/>
    </xf>
    <xf numFmtId="0" fontId="35" fillId="0" borderId="0" xfId="0" applyFont="1" applyBorder="1" applyAlignment="1" applyProtection="1">
      <alignment vertical="center"/>
      <protection hidden="1"/>
    </xf>
    <xf numFmtId="0" fontId="4" fillId="33" borderId="11" xfId="0" applyFont="1" applyFill="1" applyBorder="1" applyAlignment="1">
      <alignment vertical="center" wrapText="1"/>
    </xf>
    <xf numFmtId="0" fontId="3" fillId="38" borderId="39" xfId="0" applyFont="1" applyFill="1" applyBorder="1" applyAlignment="1">
      <alignment vertical="center"/>
    </xf>
    <xf numFmtId="0" fontId="3" fillId="35" borderId="0" xfId="0" applyFont="1" applyFill="1" applyAlignment="1" applyProtection="1">
      <alignment vertical="center"/>
      <protection locked="0"/>
    </xf>
    <xf numFmtId="0" fontId="3" fillId="33" borderId="0" xfId="0" applyFont="1" applyFill="1" applyAlignment="1" applyProtection="1">
      <alignment vertical="center"/>
      <protection locked="0"/>
    </xf>
    <xf numFmtId="0" fontId="3" fillId="33" borderId="0" xfId="0" applyFont="1" applyFill="1" applyAlignment="1" applyProtection="1">
      <alignment horizontal="right" vertical="center"/>
      <protection locked="0"/>
    </xf>
    <xf numFmtId="0" fontId="3" fillId="33" borderId="0" xfId="0" applyFont="1" applyFill="1" applyBorder="1" applyAlignment="1" applyProtection="1">
      <alignment vertical="center"/>
      <protection locked="0"/>
    </xf>
    <xf numFmtId="14" fontId="7" fillId="33" borderId="0" xfId="0" applyNumberFormat="1" applyFont="1" applyFill="1" applyBorder="1" applyAlignment="1" applyProtection="1">
      <alignment horizontal="left" vertical="center"/>
      <protection locked="0"/>
    </xf>
    <xf numFmtId="0" fontId="7" fillId="33" borderId="0" xfId="0" applyFont="1" applyFill="1" applyBorder="1" applyAlignment="1" applyProtection="1">
      <alignment horizontal="center" vertical="center" wrapText="1"/>
      <protection locked="0"/>
    </xf>
    <xf numFmtId="1" fontId="7" fillId="33" borderId="0" xfId="0" applyNumberFormat="1" applyFont="1" applyFill="1" applyBorder="1" applyAlignment="1" applyProtection="1">
      <alignment horizontal="center" vertical="center" wrapText="1"/>
      <protection locked="0"/>
    </xf>
    <xf numFmtId="1" fontId="7" fillId="33" borderId="0" xfId="0" applyNumberFormat="1" applyFont="1" applyFill="1" applyBorder="1" applyAlignment="1" applyProtection="1">
      <alignment horizontal="center" vertical="center"/>
      <protection locked="0"/>
    </xf>
    <xf numFmtId="0" fontId="4" fillId="33" borderId="20" xfId="0" applyFont="1" applyFill="1" applyBorder="1" applyAlignment="1" applyProtection="1">
      <alignment horizontal="left" vertical="center" wrapText="1"/>
      <protection locked="0"/>
    </xf>
    <xf numFmtId="0" fontId="3" fillId="33" borderId="20" xfId="0" applyFont="1" applyFill="1" applyBorder="1" applyAlignment="1" applyProtection="1">
      <alignment horizontal="center" vertical="center"/>
      <protection locked="0"/>
    </xf>
    <xf numFmtId="0" fontId="3" fillId="33" borderId="20" xfId="0" applyFont="1" applyFill="1" applyBorder="1" applyAlignment="1" applyProtection="1">
      <alignment vertical="center"/>
      <protection locked="0"/>
    </xf>
    <xf numFmtId="0" fontId="3" fillId="33" borderId="20" xfId="0" applyFont="1" applyFill="1" applyBorder="1" applyAlignment="1" applyProtection="1">
      <alignment horizontal="right" vertical="center"/>
      <protection locked="0"/>
    </xf>
    <xf numFmtId="0" fontId="10" fillId="33" borderId="0" xfId="0" applyFont="1" applyFill="1" applyBorder="1" applyAlignment="1" applyProtection="1">
      <alignment horizontal="center" vertical="center"/>
      <protection locked="0"/>
    </xf>
    <xf numFmtId="0" fontId="10" fillId="33" borderId="0" xfId="0" applyFont="1" applyFill="1" applyBorder="1" applyAlignment="1" applyProtection="1">
      <alignment horizontal="left" vertical="center"/>
      <protection locked="0"/>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right" vertical="center"/>
      <protection locked="0"/>
    </xf>
    <xf numFmtId="0" fontId="3" fillId="33" borderId="36" xfId="0" applyFont="1" applyFill="1" applyBorder="1" applyAlignment="1" applyProtection="1">
      <alignment vertical="center"/>
      <protection locked="0"/>
    </xf>
    <xf numFmtId="0" fontId="3" fillId="33" borderId="28" xfId="0" applyFont="1" applyFill="1" applyBorder="1" applyAlignment="1" applyProtection="1">
      <alignment vertical="center"/>
      <protection locked="0"/>
    </xf>
    <xf numFmtId="0" fontId="3" fillId="33" borderId="42" xfId="0" applyFont="1" applyFill="1" applyBorder="1" applyAlignment="1" applyProtection="1">
      <alignment vertical="center"/>
      <protection locked="0"/>
    </xf>
    <xf numFmtId="0" fontId="3" fillId="33" borderId="37" xfId="0" applyFont="1" applyFill="1" applyBorder="1" applyAlignment="1" applyProtection="1">
      <alignment vertical="center"/>
      <protection locked="0"/>
    </xf>
    <xf numFmtId="0" fontId="3" fillId="33" borderId="39" xfId="0" applyFont="1" applyFill="1" applyBorder="1" applyAlignment="1" applyProtection="1">
      <alignment vertical="center"/>
      <protection locked="0"/>
    </xf>
    <xf numFmtId="0" fontId="3" fillId="33" borderId="38" xfId="0" applyFont="1" applyFill="1" applyBorder="1" applyAlignment="1" applyProtection="1">
      <alignment vertical="center"/>
      <protection locked="0"/>
    </xf>
    <xf numFmtId="0" fontId="3" fillId="33" borderId="31" xfId="0" applyFont="1" applyFill="1" applyBorder="1" applyAlignment="1" applyProtection="1">
      <alignment vertical="center"/>
      <protection locked="0"/>
    </xf>
    <xf numFmtId="0" fontId="3" fillId="33" borderId="16" xfId="0" applyFont="1" applyFill="1" applyBorder="1" applyAlignment="1" applyProtection="1">
      <alignment vertical="center"/>
      <protection locked="0"/>
    </xf>
    <xf numFmtId="0" fontId="3" fillId="33" borderId="43" xfId="0" applyFont="1" applyFill="1" applyBorder="1" applyAlignment="1" applyProtection="1">
      <alignment vertical="center"/>
      <protection locked="0"/>
    </xf>
    <xf numFmtId="0" fontId="55" fillId="33" borderId="36" xfId="0" applyFont="1" applyFill="1" applyBorder="1" applyAlignment="1" applyProtection="1">
      <alignment vertical="center"/>
      <protection locked="0"/>
    </xf>
    <xf numFmtId="0" fontId="55" fillId="33" borderId="28" xfId="0" applyFont="1" applyFill="1" applyBorder="1" applyAlignment="1" applyProtection="1">
      <alignment vertical="center"/>
      <protection locked="0"/>
    </xf>
    <xf numFmtId="1" fontId="3" fillId="39" borderId="42" xfId="0" applyNumberFormat="1" applyFont="1" applyFill="1" applyBorder="1" applyAlignment="1" applyProtection="1">
      <alignment vertical="center"/>
      <protection locked="0"/>
    </xf>
    <xf numFmtId="0" fontId="3" fillId="33" borderId="40" xfId="0" applyFont="1" applyFill="1" applyBorder="1" applyAlignment="1" applyProtection="1">
      <alignment vertical="center"/>
      <protection locked="0"/>
    </xf>
    <xf numFmtId="0" fontId="15" fillId="0" borderId="20" xfId="0" applyFont="1" applyBorder="1" applyAlignment="1" applyProtection="1">
      <alignment horizontal="center" vertical="center" wrapText="1"/>
      <protection locked="0"/>
    </xf>
    <xf numFmtId="49" fontId="3" fillId="33" borderId="0" xfId="0" applyNumberFormat="1" applyFont="1" applyFill="1" applyAlignment="1" applyProtection="1">
      <alignment vertical="center"/>
      <protection locked="0"/>
    </xf>
    <xf numFmtId="1" fontId="3" fillId="39" borderId="39" xfId="0" applyNumberFormat="1" applyFont="1" applyFill="1" applyBorder="1" applyAlignment="1" applyProtection="1">
      <alignment vertical="center"/>
      <protection locked="0"/>
    </xf>
    <xf numFmtId="1" fontId="3" fillId="33" borderId="39" xfId="0" applyNumberFormat="1" applyFont="1" applyFill="1" applyBorder="1" applyAlignment="1" applyProtection="1">
      <alignment vertical="center"/>
      <protection locked="0"/>
    </xf>
    <xf numFmtId="1" fontId="3" fillId="39" borderId="40" xfId="0" applyNumberFormat="1" applyFont="1" applyFill="1" applyBorder="1" applyAlignment="1" applyProtection="1">
      <alignment vertical="center"/>
      <protection locked="0"/>
    </xf>
    <xf numFmtId="0" fontId="3" fillId="33" borderId="0" xfId="0" applyFont="1" applyFill="1" applyAlignment="1" applyProtection="1">
      <alignment horizontal="left" vertical="center"/>
      <protection locked="0"/>
    </xf>
    <xf numFmtId="0" fontId="3" fillId="33" borderId="0" xfId="0" applyFont="1" applyFill="1" applyAlignment="1" applyProtection="1">
      <alignment horizontal="center" vertical="center"/>
      <protection locked="0"/>
    </xf>
    <xf numFmtId="0" fontId="11" fillId="33" borderId="0" xfId="0" applyFont="1" applyFill="1" applyAlignment="1" applyProtection="1">
      <alignment vertical="center"/>
      <protection locked="0"/>
    </xf>
    <xf numFmtId="0" fontId="13" fillId="33" borderId="0" xfId="0" applyFont="1" applyFill="1" applyAlignment="1" applyProtection="1">
      <alignment vertical="center"/>
      <protection locked="0"/>
    </xf>
    <xf numFmtId="0" fontId="31" fillId="0" borderId="0" xfId="0" applyFont="1" applyBorder="1" applyAlignment="1" applyProtection="1">
      <alignment/>
      <protection locked="0"/>
    </xf>
    <xf numFmtId="0" fontId="16" fillId="0" borderId="0" xfId="0" applyFont="1" applyAlignment="1" applyProtection="1">
      <alignment horizontal="center"/>
      <protection locked="0"/>
    </xf>
    <xf numFmtId="0" fontId="3" fillId="33" borderId="36" xfId="0" applyFont="1" applyFill="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3" fillId="33" borderId="18" xfId="0" applyFont="1" applyFill="1" applyBorder="1" applyAlignment="1" applyProtection="1">
      <alignment vertical="center"/>
      <protection locked="0"/>
    </xf>
    <xf numFmtId="0" fontId="3" fillId="33" borderId="14" xfId="0" applyFont="1" applyFill="1" applyBorder="1" applyAlignment="1" applyProtection="1">
      <alignment vertical="center"/>
      <protection locked="0"/>
    </xf>
    <xf numFmtId="0" fontId="3" fillId="33" borderId="13" xfId="0" applyFont="1" applyFill="1" applyBorder="1" applyAlignment="1" applyProtection="1">
      <alignment vertical="center"/>
      <protection locked="0"/>
    </xf>
    <xf numFmtId="0" fontId="3" fillId="33" borderId="14" xfId="0" applyFont="1" applyFill="1" applyBorder="1" applyAlignment="1" applyProtection="1">
      <alignment horizontal="left" vertical="center"/>
      <protection locked="0"/>
    </xf>
    <xf numFmtId="0" fontId="4" fillId="33" borderId="0" xfId="0" applyFont="1" applyFill="1" applyAlignment="1" applyProtection="1">
      <alignment horizontal="center" vertical="center"/>
      <protection locked="0"/>
    </xf>
    <xf numFmtId="0" fontId="8" fillId="33" borderId="0" xfId="0" applyFont="1" applyFill="1" applyAlignment="1" applyProtection="1">
      <alignment horizontal="center" vertical="center"/>
      <protection locked="0"/>
    </xf>
    <xf numFmtId="0" fontId="10" fillId="33" borderId="0" xfId="0" applyFont="1" applyFill="1" applyAlignment="1" applyProtection="1">
      <alignment horizontal="center" vertical="center"/>
      <protection locked="0"/>
    </xf>
    <xf numFmtId="0" fontId="4" fillId="33" borderId="0" xfId="0" applyFont="1" applyFill="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locked="0"/>
    </xf>
    <xf numFmtId="0" fontId="4" fillId="33" borderId="0" xfId="0" applyFont="1" applyFill="1" applyAlignment="1" applyProtection="1">
      <alignment horizontal="right" vertical="center" wrapText="1"/>
      <protection locked="0"/>
    </xf>
    <xf numFmtId="0" fontId="15" fillId="0" borderId="20" xfId="0" applyFont="1" applyBorder="1" applyAlignment="1" applyProtection="1">
      <alignment horizontal="center" vertical="center"/>
      <protection hidden="1"/>
    </xf>
    <xf numFmtId="1" fontId="16" fillId="0" borderId="20" xfId="0" applyNumberFormat="1" applyFont="1" applyBorder="1" applyAlignment="1" applyProtection="1">
      <alignment horizontal="center" vertical="center" wrapText="1"/>
      <protection hidden="1"/>
    </xf>
    <xf numFmtId="0" fontId="16" fillId="0" borderId="20" xfId="0" applyFont="1" applyBorder="1" applyAlignment="1" applyProtection="1">
      <alignment horizontal="center" vertical="center"/>
      <protection hidden="1"/>
    </xf>
    <xf numFmtId="0" fontId="15" fillId="0" borderId="20" xfId="0" applyFont="1" applyBorder="1" applyAlignment="1" applyProtection="1">
      <alignment horizontal="center" vertical="center" wrapText="1"/>
      <protection hidden="1"/>
    </xf>
    <xf numFmtId="1" fontId="15" fillId="0" borderId="20" xfId="0" applyNumberFormat="1" applyFont="1" applyBorder="1" applyAlignment="1" applyProtection="1">
      <alignment horizontal="center" vertical="center"/>
      <protection hidden="1"/>
    </xf>
    <xf numFmtId="0" fontId="17" fillId="0" borderId="20" xfId="0" applyFont="1" applyBorder="1" applyAlignment="1" applyProtection="1">
      <alignment horizontal="center" vertical="center" wrapText="1"/>
      <protection hidden="1"/>
    </xf>
    <xf numFmtId="0" fontId="28" fillId="0" borderId="48" xfId="0" applyFont="1" applyBorder="1" applyAlignment="1">
      <alignment horizontal="right"/>
    </xf>
    <xf numFmtId="0" fontId="28" fillId="0" borderId="49" xfId="0" applyFont="1" applyBorder="1" applyAlignment="1" applyProtection="1">
      <alignment horizontal="center"/>
      <protection hidden="1"/>
    </xf>
    <xf numFmtId="0" fontId="30" fillId="0" borderId="32" xfId="0" applyFont="1" applyBorder="1" applyAlignment="1" applyProtection="1">
      <alignment horizontal="center"/>
      <protection hidden="1"/>
    </xf>
    <xf numFmtId="0" fontId="30" fillId="0" borderId="0" xfId="0" applyFont="1" applyBorder="1" applyAlignment="1" applyProtection="1">
      <alignment horizontal="left"/>
      <protection hidden="1"/>
    </xf>
    <xf numFmtId="0" fontId="27" fillId="0" borderId="50" xfId="0" applyFont="1" applyBorder="1" applyAlignment="1" applyProtection="1">
      <alignment horizontal="center"/>
      <protection hidden="1"/>
    </xf>
    <xf numFmtId="0" fontId="27" fillId="0" borderId="51" xfId="0" applyFont="1" applyBorder="1" applyAlignment="1" applyProtection="1">
      <alignment horizontal="center"/>
      <protection hidden="1"/>
    </xf>
    <xf numFmtId="169" fontId="27" fillId="0" borderId="52" xfId="0" applyNumberFormat="1" applyFont="1" applyBorder="1" applyAlignment="1" applyProtection="1">
      <alignment/>
      <protection hidden="1"/>
    </xf>
    <xf numFmtId="169" fontId="27" fillId="0" borderId="33" xfId="0" applyNumberFormat="1" applyFont="1" applyBorder="1" applyAlignment="1" applyProtection="1">
      <alignment/>
      <protection hidden="1"/>
    </xf>
    <xf numFmtId="0" fontId="27" fillId="0" borderId="27" xfId="0" applyFont="1" applyBorder="1" applyAlignment="1" applyProtection="1">
      <alignment horizontal="center"/>
      <protection hidden="1"/>
    </xf>
    <xf numFmtId="0" fontId="27" fillId="0" borderId="0" xfId="0" applyFont="1" applyBorder="1" applyAlignment="1" applyProtection="1">
      <alignment horizontal="center"/>
      <protection hidden="1"/>
    </xf>
    <xf numFmtId="169" fontId="27" fillId="0" borderId="17" xfId="0" applyNumberFormat="1" applyFont="1" applyBorder="1" applyAlignment="1" applyProtection="1">
      <alignment/>
      <protection hidden="1"/>
    </xf>
    <xf numFmtId="0" fontId="16" fillId="0" borderId="27" xfId="0" applyFont="1" applyBorder="1" applyAlignment="1" applyProtection="1">
      <alignment horizontal="center"/>
      <protection hidden="1"/>
    </xf>
    <xf numFmtId="0" fontId="27" fillId="0" borderId="53" xfId="0" applyFont="1" applyBorder="1" applyAlignment="1" applyProtection="1">
      <alignment horizontal="center"/>
      <protection hidden="1"/>
    </xf>
    <xf numFmtId="0" fontId="27" fillId="0" borderId="54" xfId="0" applyFont="1" applyBorder="1" applyAlignment="1" applyProtection="1">
      <alignment horizontal="center"/>
      <protection hidden="1"/>
    </xf>
    <xf numFmtId="169" fontId="27" fillId="0" borderId="55" xfId="0" applyNumberFormat="1" applyFont="1" applyBorder="1" applyAlignment="1" applyProtection="1">
      <alignment/>
      <protection hidden="1"/>
    </xf>
    <xf numFmtId="169" fontId="27" fillId="0" borderId="56" xfId="0" applyNumberFormat="1" applyFont="1" applyBorder="1" applyAlignment="1" applyProtection="1">
      <alignment/>
      <protection hidden="1"/>
    </xf>
    <xf numFmtId="169" fontId="30" fillId="0" borderId="33" xfId="0" applyNumberFormat="1" applyFont="1" applyBorder="1" applyAlignment="1" applyProtection="1">
      <alignment/>
      <protection hidden="1"/>
    </xf>
    <xf numFmtId="0" fontId="16" fillId="0" borderId="0" xfId="0" applyFont="1" applyBorder="1" applyAlignment="1" applyProtection="1">
      <alignment horizontal="left"/>
      <protection hidden="1"/>
    </xf>
    <xf numFmtId="169" fontId="33" fillId="0" borderId="33" xfId="0" applyNumberFormat="1" applyFont="1" applyBorder="1" applyAlignment="1" applyProtection="1">
      <alignment/>
      <protection hidden="1"/>
    </xf>
    <xf numFmtId="0" fontId="31" fillId="0" borderId="0" xfId="0" applyFont="1" applyBorder="1" applyAlignment="1" applyProtection="1">
      <alignment horizontal="left"/>
      <protection hidden="1"/>
    </xf>
    <xf numFmtId="0" fontId="31" fillId="0" borderId="17" xfId="0" applyFont="1" applyBorder="1" applyAlignment="1" applyProtection="1">
      <alignment/>
      <protection hidden="1"/>
    </xf>
    <xf numFmtId="0" fontId="27" fillId="0" borderId="53" xfId="0" applyFont="1" applyBorder="1" applyAlignment="1" applyProtection="1">
      <alignment horizontal="center" vertical="center"/>
      <protection hidden="1"/>
    </xf>
    <xf numFmtId="0" fontId="27" fillId="0" borderId="54" xfId="0" applyFont="1" applyBorder="1" applyAlignment="1" applyProtection="1">
      <alignment horizontal="center" vertical="center"/>
      <protection hidden="1"/>
    </xf>
    <xf numFmtId="169" fontId="27" fillId="0" borderId="55" xfId="0" applyNumberFormat="1" applyFont="1" applyBorder="1" applyAlignment="1" applyProtection="1">
      <alignment vertical="center"/>
      <protection hidden="1"/>
    </xf>
    <xf numFmtId="0" fontId="27" fillId="0" borderId="51" xfId="0" applyFont="1" applyBorder="1" applyAlignment="1" applyProtection="1">
      <alignment horizontal="center" vertical="center"/>
      <protection hidden="1"/>
    </xf>
    <xf numFmtId="0" fontId="27" fillId="0" borderId="57" xfId="0" applyFont="1" applyBorder="1" applyAlignment="1" applyProtection="1">
      <alignment horizontal="center" vertical="center"/>
      <protection hidden="1"/>
    </xf>
    <xf numFmtId="0" fontId="27" fillId="0" borderId="58" xfId="0" applyFont="1" applyBorder="1" applyAlignment="1" applyProtection="1">
      <alignment horizontal="center" vertical="center"/>
      <protection hidden="1"/>
    </xf>
    <xf numFmtId="169" fontId="27" fillId="0" borderId="59" xfId="0" applyNumberFormat="1" applyFont="1" applyBorder="1" applyAlignment="1" applyProtection="1">
      <alignment vertical="center"/>
      <protection hidden="1"/>
    </xf>
    <xf numFmtId="0" fontId="27" fillId="0" borderId="26" xfId="0" applyFont="1" applyBorder="1" applyAlignment="1" applyProtection="1">
      <alignment horizontal="center"/>
      <protection hidden="1"/>
    </xf>
    <xf numFmtId="0" fontId="27" fillId="0" borderId="10" xfId="0" applyFont="1" applyBorder="1" applyAlignment="1" applyProtection="1">
      <alignment horizontal="center"/>
      <protection hidden="1"/>
    </xf>
    <xf numFmtId="169" fontId="27" fillId="0" borderId="21" xfId="0" applyNumberFormat="1" applyFont="1" applyBorder="1" applyAlignment="1" applyProtection="1">
      <alignment/>
      <protection hidden="1"/>
    </xf>
    <xf numFmtId="0" fontId="31" fillId="0" borderId="0" xfId="0" applyFont="1" applyBorder="1" applyAlignment="1" applyProtection="1">
      <alignment horizontal="right"/>
      <protection hidden="1"/>
    </xf>
    <xf numFmtId="0" fontId="31" fillId="0" borderId="0" xfId="0" applyFont="1" applyBorder="1" applyAlignment="1" applyProtection="1">
      <alignment/>
      <protection hidden="1"/>
    </xf>
    <xf numFmtId="0" fontId="27" fillId="0" borderId="57" xfId="0" applyFont="1" applyBorder="1" applyAlignment="1" applyProtection="1">
      <alignment horizontal="center"/>
      <protection hidden="1"/>
    </xf>
    <xf numFmtId="0" fontId="27" fillId="0" borderId="58" xfId="0" applyFont="1" applyBorder="1" applyAlignment="1" applyProtection="1">
      <alignment horizontal="center"/>
      <protection hidden="1"/>
    </xf>
    <xf numFmtId="0" fontId="29" fillId="0" borderId="0" xfId="0" applyFont="1" applyBorder="1" applyAlignment="1" applyProtection="1">
      <alignment/>
      <protection hidden="1"/>
    </xf>
    <xf numFmtId="169" fontId="30" fillId="0" borderId="56" xfId="0" applyNumberFormat="1" applyFont="1" applyBorder="1" applyAlignment="1" applyProtection="1">
      <alignment/>
      <protection hidden="1"/>
    </xf>
    <xf numFmtId="0" fontId="27" fillId="0" borderId="60" xfId="0" applyFont="1" applyBorder="1" applyAlignment="1" applyProtection="1">
      <alignment horizontal="center"/>
      <protection hidden="1"/>
    </xf>
    <xf numFmtId="0" fontId="27" fillId="0" borderId="61" xfId="0" applyFont="1" applyBorder="1" applyAlignment="1" applyProtection="1">
      <alignment horizontal="center"/>
      <protection hidden="1"/>
    </xf>
    <xf numFmtId="169" fontId="27" fillId="0" borderId="62" xfId="0" applyNumberFormat="1" applyFont="1" applyBorder="1" applyAlignment="1" applyProtection="1">
      <alignment/>
      <protection hidden="1"/>
    </xf>
    <xf numFmtId="169" fontId="30" fillId="0" borderId="63" xfId="0" applyNumberFormat="1" applyFont="1" applyBorder="1" applyAlignment="1" applyProtection="1">
      <alignment/>
      <protection hidden="1"/>
    </xf>
    <xf numFmtId="169" fontId="27" fillId="0" borderId="64" xfId="0" applyNumberFormat="1" applyFont="1" applyBorder="1" applyAlignment="1" applyProtection="1">
      <alignment/>
      <protection hidden="1"/>
    </xf>
    <xf numFmtId="169" fontId="27" fillId="0" borderId="64" xfId="0" applyNumberFormat="1" applyFont="1" applyBorder="1" applyAlignment="1" applyProtection="1">
      <alignment horizontal="right"/>
      <protection hidden="1"/>
    </xf>
    <xf numFmtId="0" fontId="27" fillId="0" borderId="54" xfId="0" applyFont="1" applyBorder="1" applyAlignment="1" applyProtection="1">
      <alignment/>
      <protection hidden="1"/>
    </xf>
    <xf numFmtId="0" fontId="28" fillId="0" borderId="0" xfId="0" applyFont="1" applyBorder="1" applyAlignment="1" applyProtection="1">
      <alignment horizontal="left"/>
      <protection hidden="1"/>
    </xf>
    <xf numFmtId="0" fontId="16" fillId="0" borderId="54" xfId="0" applyFont="1" applyBorder="1" applyAlignment="1" applyProtection="1">
      <alignment horizontal="right"/>
      <protection hidden="1"/>
    </xf>
    <xf numFmtId="169" fontId="16" fillId="0" borderId="54" xfId="0" applyNumberFormat="1" applyFont="1" applyBorder="1" applyAlignment="1" applyProtection="1">
      <alignment horizontal="center"/>
      <protection hidden="1"/>
    </xf>
    <xf numFmtId="0" fontId="27" fillId="0" borderId="27" xfId="0" applyFont="1" applyBorder="1" applyAlignment="1" applyProtection="1">
      <alignment/>
      <protection hidden="1"/>
    </xf>
    <xf numFmtId="169" fontId="28" fillId="0" borderId="33" xfId="0" applyNumberFormat="1" applyFont="1" applyBorder="1" applyAlignment="1" applyProtection="1">
      <alignment/>
      <protection hidden="1"/>
    </xf>
    <xf numFmtId="169" fontId="16" fillId="0" borderId="0" xfId="0" applyNumberFormat="1" applyFont="1" applyBorder="1" applyAlignment="1" applyProtection="1">
      <alignment horizontal="center"/>
      <protection hidden="1"/>
    </xf>
    <xf numFmtId="0" fontId="31" fillId="0" borderId="65" xfId="0" applyFont="1" applyBorder="1" applyAlignment="1" applyProtection="1">
      <alignment horizontal="center"/>
      <protection hidden="1"/>
    </xf>
    <xf numFmtId="0" fontId="31" fillId="0" borderId="15" xfId="0" applyFont="1" applyBorder="1" applyAlignment="1" applyProtection="1">
      <alignment/>
      <protection hidden="1"/>
    </xf>
    <xf numFmtId="0" fontId="27" fillId="0" borderId="66" xfId="0" applyFont="1" applyBorder="1" applyAlignment="1" applyProtection="1">
      <alignment horizontal="center"/>
      <protection hidden="1"/>
    </xf>
    <xf numFmtId="0" fontId="27" fillId="0" borderId="15" xfId="0" applyFont="1" applyBorder="1" applyAlignment="1" applyProtection="1">
      <alignment horizontal="center"/>
      <protection hidden="1"/>
    </xf>
    <xf numFmtId="3" fontId="27" fillId="0" borderId="23" xfId="0" applyNumberFormat="1" applyFont="1" applyBorder="1" applyAlignment="1" applyProtection="1">
      <alignment/>
      <protection hidden="1"/>
    </xf>
    <xf numFmtId="3" fontId="33" fillId="0" borderId="67" xfId="0" applyNumberFormat="1" applyFont="1" applyBorder="1" applyAlignment="1" applyProtection="1">
      <alignment/>
      <protection hidden="1"/>
    </xf>
    <xf numFmtId="0" fontId="16" fillId="0" borderId="32"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16" fillId="0" borderId="33" xfId="0" applyFont="1" applyBorder="1" applyAlignment="1" applyProtection="1">
      <alignment horizontal="center" vertical="center"/>
      <protection hidden="1"/>
    </xf>
    <xf numFmtId="0" fontId="16" fillId="0" borderId="10" xfId="0" applyFont="1" applyBorder="1" applyAlignment="1" applyProtection="1">
      <alignment vertical="center"/>
      <protection hidden="1"/>
    </xf>
    <xf numFmtId="0" fontId="30" fillId="0" borderId="32" xfId="0" applyFont="1" applyBorder="1" applyAlignment="1" applyProtection="1">
      <alignment horizontal="center" vertical="center"/>
      <protection hidden="1"/>
    </xf>
    <xf numFmtId="0" fontId="30" fillId="0" borderId="27"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31" fillId="0" borderId="60" xfId="0" applyFont="1" applyBorder="1" applyAlignment="1" applyProtection="1">
      <alignment vertical="center"/>
      <protection hidden="1"/>
    </xf>
    <xf numFmtId="169" fontId="16" fillId="0" borderId="62" xfId="0" applyNumberFormat="1" applyFont="1" applyBorder="1" applyAlignment="1" applyProtection="1">
      <alignment vertical="center"/>
      <protection hidden="1"/>
    </xf>
    <xf numFmtId="3" fontId="31" fillId="0" borderId="0" xfId="0" applyNumberFormat="1" applyFont="1" applyBorder="1" applyAlignment="1" applyProtection="1">
      <alignment vertical="center"/>
      <protection hidden="1"/>
    </xf>
    <xf numFmtId="3" fontId="31" fillId="0" borderId="17" xfId="0" applyNumberFormat="1" applyFont="1" applyBorder="1" applyAlignment="1" applyProtection="1">
      <alignment vertical="center"/>
      <protection hidden="1"/>
    </xf>
    <xf numFmtId="169" fontId="16" fillId="0" borderId="33" xfId="0" applyNumberFormat="1" applyFont="1" applyBorder="1" applyAlignment="1" applyProtection="1">
      <alignment vertical="center"/>
      <protection hidden="1"/>
    </xf>
    <xf numFmtId="0" fontId="16" fillId="0" borderId="27"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31" fillId="0" borderId="53" xfId="0" applyFont="1" applyBorder="1" applyAlignment="1" applyProtection="1">
      <alignment vertical="center"/>
      <protection hidden="1"/>
    </xf>
    <xf numFmtId="169" fontId="16" fillId="0" borderId="55" xfId="0" applyNumberFormat="1" applyFont="1" applyBorder="1" applyAlignment="1" applyProtection="1">
      <alignment vertical="center"/>
      <protection hidden="1"/>
    </xf>
    <xf numFmtId="0" fontId="31" fillId="0" borderId="50" xfId="0" applyFont="1" applyBorder="1" applyAlignment="1" applyProtection="1">
      <alignment vertical="center"/>
      <protection hidden="1"/>
    </xf>
    <xf numFmtId="169" fontId="16" fillId="0" borderId="52" xfId="0" applyNumberFormat="1" applyFont="1" applyBorder="1" applyAlignment="1" applyProtection="1">
      <alignment vertical="center"/>
      <protection hidden="1"/>
    </xf>
    <xf numFmtId="0" fontId="31" fillId="0" borderId="57" xfId="0" applyFont="1" applyBorder="1" applyAlignment="1" applyProtection="1">
      <alignment vertical="center"/>
      <protection hidden="1"/>
    </xf>
    <xf numFmtId="169" fontId="16" fillId="0" borderId="59" xfId="0" applyNumberFormat="1" applyFont="1" applyBorder="1" applyAlignment="1" applyProtection="1">
      <alignment vertical="center"/>
      <protection hidden="1"/>
    </xf>
    <xf numFmtId="0" fontId="30" fillId="0" borderId="0" xfId="0" applyFont="1" applyBorder="1" applyAlignment="1" applyProtection="1">
      <alignment horizontal="left" vertical="center"/>
      <protection hidden="1"/>
    </xf>
    <xf numFmtId="0" fontId="31" fillId="0" borderId="27" xfId="0" applyFont="1" applyBorder="1" applyAlignment="1" applyProtection="1">
      <alignment vertical="center"/>
      <protection hidden="1"/>
    </xf>
    <xf numFmtId="169" fontId="16" fillId="0" borderId="17" xfId="0" applyNumberFormat="1" applyFont="1" applyBorder="1" applyAlignment="1" applyProtection="1">
      <alignment vertical="center"/>
      <protection hidden="1"/>
    </xf>
    <xf numFmtId="169" fontId="27" fillId="0" borderId="33" xfId="0" applyNumberFormat="1" applyFont="1" applyBorder="1" applyAlignment="1" applyProtection="1">
      <alignment vertical="center"/>
      <protection hidden="1"/>
    </xf>
    <xf numFmtId="169" fontId="16" fillId="0" borderId="0" xfId="0" applyNumberFormat="1" applyFont="1" applyBorder="1" applyAlignment="1" applyProtection="1">
      <alignment vertical="center"/>
      <protection hidden="1"/>
    </xf>
    <xf numFmtId="3" fontId="31" fillId="0" borderId="27" xfId="0" applyNumberFormat="1" applyFont="1" applyBorder="1" applyAlignment="1" applyProtection="1">
      <alignment vertical="center"/>
      <protection hidden="1"/>
    </xf>
    <xf numFmtId="0" fontId="16" fillId="0" borderId="17" xfId="0" applyFont="1" applyBorder="1" applyAlignment="1" applyProtection="1">
      <alignment vertical="center"/>
      <protection hidden="1"/>
    </xf>
    <xf numFmtId="0" fontId="31" fillId="0" borderId="54" xfId="0" applyFont="1" applyBorder="1" applyAlignment="1" applyProtection="1">
      <alignment vertical="center"/>
      <protection hidden="1"/>
    </xf>
    <xf numFmtId="169" fontId="16" fillId="0" borderId="54" xfId="0" applyNumberFormat="1" applyFont="1" applyBorder="1" applyAlignment="1" applyProtection="1">
      <alignment vertical="center"/>
      <protection hidden="1"/>
    </xf>
    <xf numFmtId="3" fontId="31" fillId="0" borderId="66" xfId="0" applyNumberFormat="1" applyFont="1" applyBorder="1" applyAlignment="1" applyProtection="1">
      <alignment vertical="center"/>
      <protection hidden="1"/>
    </xf>
    <xf numFmtId="169" fontId="16" fillId="0" borderId="67" xfId="0" applyNumberFormat="1" applyFont="1" applyBorder="1" applyAlignment="1" applyProtection="1">
      <alignment vertical="center"/>
      <protection hidden="1"/>
    </xf>
    <xf numFmtId="0" fontId="31" fillId="0" borderId="17" xfId="0" applyFont="1" applyBorder="1" applyAlignment="1" applyProtection="1">
      <alignment vertical="center"/>
      <protection hidden="1"/>
    </xf>
    <xf numFmtId="3" fontId="31" fillId="0" borderId="68" xfId="0" applyNumberFormat="1" applyFont="1" applyBorder="1" applyAlignment="1" applyProtection="1">
      <alignment vertical="center"/>
      <protection hidden="1"/>
    </xf>
    <xf numFmtId="169" fontId="27" fillId="0" borderId="69" xfId="0" applyNumberFormat="1" applyFont="1" applyBorder="1" applyAlignment="1" applyProtection="1">
      <alignment vertical="center"/>
      <protection hidden="1"/>
    </xf>
    <xf numFmtId="3" fontId="31" fillId="0" borderId="53" xfId="0" applyNumberFormat="1" applyFont="1" applyBorder="1" applyAlignment="1" applyProtection="1">
      <alignment vertical="center"/>
      <protection hidden="1"/>
    </xf>
    <xf numFmtId="169" fontId="16" fillId="0" borderId="64" xfId="0" applyNumberFormat="1" applyFont="1" applyBorder="1" applyAlignment="1" applyProtection="1">
      <alignment vertical="center"/>
      <protection hidden="1"/>
    </xf>
    <xf numFmtId="3" fontId="31" fillId="0" borderId="57" xfId="0" applyNumberFormat="1" applyFont="1" applyBorder="1" applyAlignment="1" applyProtection="1">
      <alignment vertical="center"/>
      <protection hidden="1"/>
    </xf>
    <xf numFmtId="169" fontId="16" fillId="0" borderId="70" xfId="0" applyNumberFormat="1" applyFont="1" applyBorder="1" applyAlignment="1" applyProtection="1">
      <alignment vertical="center"/>
      <protection hidden="1"/>
    </xf>
    <xf numFmtId="0" fontId="29" fillId="0" borderId="0" xfId="0" applyFont="1" applyBorder="1" applyAlignment="1" applyProtection="1">
      <alignment vertical="center"/>
      <protection hidden="1"/>
    </xf>
    <xf numFmtId="169" fontId="31" fillId="0" borderId="17" xfId="0" applyNumberFormat="1" applyFont="1" applyBorder="1" applyAlignment="1" applyProtection="1">
      <alignment vertical="center"/>
      <protection hidden="1"/>
    </xf>
    <xf numFmtId="0" fontId="30" fillId="0" borderId="32" xfId="0" applyFont="1" applyBorder="1" applyAlignment="1" applyProtection="1">
      <alignment horizontal="right" vertical="center"/>
      <protection hidden="1"/>
    </xf>
    <xf numFmtId="0" fontId="28" fillId="0" borderId="0" xfId="0" applyFont="1" applyBorder="1" applyAlignment="1" applyProtection="1">
      <alignment vertical="center"/>
      <protection hidden="1"/>
    </xf>
    <xf numFmtId="3" fontId="31" fillId="0" borderId="27" xfId="0" applyNumberFormat="1" applyFont="1" applyBorder="1" applyAlignment="1" applyProtection="1">
      <alignment horizontal="right" vertical="center"/>
      <protection hidden="1"/>
    </xf>
    <xf numFmtId="3" fontId="31" fillId="0" borderId="54" xfId="0" applyNumberFormat="1" applyFont="1" applyBorder="1" applyAlignment="1" applyProtection="1">
      <alignment vertical="center"/>
      <protection hidden="1"/>
    </xf>
    <xf numFmtId="3" fontId="31" fillId="0" borderId="51" xfId="0" applyNumberFormat="1" applyFont="1" applyBorder="1" applyAlignment="1" applyProtection="1">
      <alignment vertical="center"/>
      <protection hidden="1"/>
    </xf>
    <xf numFmtId="3" fontId="31" fillId="0" borderId="15" xfId="0" applyNumberFormat="1" applyFont="1" applyBorder="1" applyAlignment="1" applyProtection="1">
      <alignment vertical="center"/>
      <protection hidden="1"/>
    </xf>
    <xf numFmtId="3" fontId="31" fillId="0" borderId="50" xfId="0" applyNumberFormat="1" applyFont="1" applyBorder="1" applyAlignment="1" applyProtection="1">
      <alignment vertical="center"/>
      <protection hidden="1"/>
    </xf>
    <xf numFmtId="3" fontId="31" fillId="0" borderId="10"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30" fillId="0" borderId="27" xfId="0" applyNumberFormat="1" applyFont="1" applyBorder="1" applyAlignment="1" applyProtection="1">
      <alignment vertical="center"/>
      <protection hidden="1"/>
    </xf>
    <xf numFmtId="3" fontId="30" fillId="0" borderId="0" xfId="0" applyNumberFormat="1" applyFont="1" applyBorder="1" applyAlignment="1" applyProtection="1">
      <alignment vertical="center"/>
      <protection hidden="1"/>
    </xf>
    <xf numFmtId="3" fontId="16" fillId="0" borderId="17" xfId="0" applyNumberFormat="1" applyFont="1" applyBorder="1" applyAlignment="1" applyProtection="1">
      <alignment vertical="center"/>
      <protection hidden="1"/>
    </xf>
    <xf numFmtId="3" fontId="32" fillId="0" borderId="27" xfId="0" applyNumberFormat="1" applyFont="1" applyBorder="1" applyAlignment="1" applyProtection="1">
      <alignment horizontal="right" vertical="center"/>
      <protection hidden="1"/>
    </xf>
    <xf numFmtId="3" fontId="28" fillId="0" borderId="54" xfId="0" applyNumberFormat="1" applyFont="1" applyBorder="1" applyAlignment="1" applyProtection="1">
      <alignment vertical="center"/>
      <protection hidden="1"/>
    </xf>
    <xf numFmtId="169" fontId="27" fillId="0" borderId="64" xfId="0" applyNumberFormat="1" applyFont="1" applyBorder="1" applyAlignment="1" applyProtection="1">
      <alignment vertical="center"/>
      <protection hidden="1"/>
    </xf>
    <xf numFmtId="3" fontId="28" fillId="0" borderId="57" xfId="0" applyNumberFormat="1" applyFont="1" applyBorder="1" applyAlignment="1" applyProtection="1">
      <alignment vertical="center"/>
      <protection hidden="1"/>
    </xf>
    <xf numFmtId="169" fontId="27" fillId="0" borderId="70" xfId="0" applyNumberFormat="1" applyFont="1" applyBorder="1" applyAlignment="1" applyProtection="1">
      <alignment vertical="center"/>
      <protection hidden="1"/>
    </xf>
    <xf numFmtId="3" fontId="28" fillId="0" borderId="22" xfId="0" applyNumberFormat="1" applyFont="1" applyBorder="1" applyAlignment="1" applyProtection="1">
      <alignment vertical="center"/>
      <protection hidden="1"/>
    </xf>
    <xf numFmtId="169" fontId="27" fillId="0" borderId="71" xfId="0" applyNumberFormat="1" applyFont="1" applyBorder="1" applyAlignment="1" applyProtection="1">
      <alignment/>
      <protection hidden="1"/>
    </xf>
    <xf numFmtId="0" fontId="30" fillId="0" borderId="65" xfId="0" applyFont="1" applyBorder="1" applyAlignment="1" applyProtection="1">
      <alignment vertical="center"/>
      <protection hidden="1"/>
    </xf>
    <xf numFmtId="0" fontId="28" fillId="0" borderId="66" xfId="0" applyFont="1" applyBorder="1" applyAlignment="1" applyProtection="1">
      <alignment vertical="center"/>
      <protection hidden="1"/>
    </xf>
    <xf numFmtId="0" fontId="28" fillId="0" borderId="15" xfId="0" applyFont="1" applyBorder="1" applyAlignment="1" applyProtection="1">
      <alignment vertical="center"/>
      <protection hidden="1"/>
    </xf>
    <xf numFmtId="0" fontId="31" fillId="0" borderId="15" xfId="0" applyFont="1" applyBorder="1" applyAlignment="1" applyProtection="1">
      <alignment vertical="center"/>
      <protection hidden="1"/>
    </xf>
    <xf numFmtId="0" fontId="31" fillId="0" borderId="23" xfId="0" applyFont="1" applyBorder="1" applyAlignment="1" applyProtection="1">
      <alignment vertical="center"/>
      <protection hidden="1"/>
    </xf>
    <xf numFmtId="0" fontId="31" fillId="0" borderId="66" xfId="0" applyFont="1" applyBorder="1" applyAlignment="1" applyProtection="1">
      <alignment vertical="center"/>
      <protection hidden="1"/>
    </xf>
    <xf numFmtId="0" fontId="27" fillId="0" borderId="67" xfId="0" applyFont="1" applyBorder="1" applyAlignment="1" applyProtection="1">
      <alignment vertical="center"/>
      <protection hidden="1"/>
    </xf>
    <xf numFmtId="0" fontId="32" fillId="0" borderId="0" xfId="0" applyFont="1" applyBorder="1" applyAlignment="1" applyProtection="1">
      <alignment horizontal="right"/>
      <protection hidden="1"/>
    </xf>
    <xf numFmtId="0" fontId="3" fillId="38" borderId="18" xfId="0" applyFont="1" applyFill="1" applyBorder="1" applyAlignment="1">
      <alignment vertical="center"/>
    </xf>
    <xf numFmtId="0" fontId="3" fillId="38" borderId="13" xfId="0" applyFont="1" applyFill="1" applyBorder="1" applyAlignment="1">
      <alignment horizontal="right" vertical="center"/>
    </xf>
    <xf numFmtId="0" fontId="3" fillId="38" borderId="13" xfId="0" applyFont="1" applyFill="1" applyBorder="1" applyAlignment="1">
      <alignment vertical="center"/>
    </xf>
    <xf numFmtId="0" fontId="3" fillId="38" borderId="14" xfId="0" applyFont="1" applyFill="1" applyBorder="1" applyAlignment="1">
      <alignment vertical="center"/>
    </xf>
    <xf numFmtId="0" fontId="3" fillId="40" borderId="28" xfId="0" applyFont="1" applyFill="1" applyBorder="1" applyAlignment="1">
      <alignment vertical="center"/>
    </xf>
    <xf numFmtId="0" fontId="3" fillId="40" borderId="42" xfId="0" applyFont="1" applyFill="1" applyBorder="1" applyAlignment="1">
      <alignment vertical="center"/>
    </xf>
    <xf numFmtId="0" fontId="38" fillId="40" borderId="37" xfId="0" applyFont="1" applyFill="1" applyBorder="1" applyAlignment="1">
      <alignment vertical="center"/>
    </xf>
    <xf numFmtId="0" fontId="3" fillId="40" borderId="0" xfId="0" applyFont="1" applyFill="1" applyBorder="1" applyAlignment="1">
      <alignment vertical="center"/>
    </xf>
    <xf numFmtId="0" fontId="3" fillId="40" borderId="39" xfId="0" applyFont="1" applyFill="1" applyBorder="1" applyAlignment="1">
      <alignment vertical="center"/>
    </xf>
    <xf numFmtId="0" fontId="39" fillId="40" borderId="38" xfId="0" applyFont="1" applyFill="1" applyBorder="1" applyAlignment="1">
      <alignment vertical="center"/>
    </xf>
    <xf numFmtId="0" fontId="3" fillId="40" borderId="31" xfId="0" applyFont="1" applyFill="1" applyBorder="1" applyAlignment="1">
      <alignment vertical="center"/>
    </xf>
    <xf numFmtId="0" fontId="3" fillId="40" borderId="40" xfId="0" applyFont="1" applyFill="1" applyBorder="1" applyAlignment="1">
      <alignment vertical="center"/>
    </xf>
    <xf numFmtId="0" fontId="9" fillId="33" borderId="0" xfId="0" applyFont="1" applyFill="1" applyAlignment="1" applyProtection="1">
      <alignment vertical="center"/>
      <protection locked="0"/>
    </xf>
    <xf numFmtId="0" fontId="3" fillId="33" borderId="66" xfId="0" applyFont="1" applyFill="1" applyBorder="1" applyAlignment="1">
      <alignment vertical="center" wrapText="1"/>
    </xf>
    <xf numFmtId="169" fontId="37" fillId="0" borderId="0" xfId="0" applyNumberFormat="1" applyFont="1" applyBorder="1" applyAlignment="1" applyProtection="1">
      <alignment horizontal="center" vertical="center"/>
      <protection hidden="1"/>
    </xf>
    <xf numFmtId="0" fontId="30" fillId="0" borderId="72" xfId="0" applyFont="1" applyBorder="1" applyAlignment="1" applyProtection="1">
      <alignment horizontal="right"/>
      <protection hidden="1"/>
    </xf>
    <xf numFmtId="0" fontId="31" fillId="0" borderId="73" xfId="0" applyFont="1" applyBorder="1" applyAlignment="1" applyProtection="1">
      <alignment horizontal="center" vertical="center"/>
      <protection hidden="1"/>
    </xf>
    <xf numFmtId="0" fontId="31" fillId="0" borderId="74" xfId="0" applyFont="1" applyBorder="1" applyAlignment="1" applyProtection="1">
      <alignment/>
      <protection hidden="1"/>
    </xf>
    <xf numFmtId="169" fontId="31" fillId="0" borderId="49" xfId="0" applyNumberFormat="1" applyFont="1" applyBorder="1" applyAlignment="1" applyProtection="1">
      <alignment/>
      <protection hidden="1"/>
    </xf>
    <xf numFmtId="0" fontId="30" fillId="0" borderId="75" xfId="0" applyFont="1" applyBorder="1" applyAlignment="1" applyProtection="1">
      <alignment horizontal="center"/>
      <protection hidden="1"/>
    </xf>
    <xf numFmtId="0" fontId="16" fillId="0" borderId="76" xfId="0" applyFont="1" applyBorder="1" applyAlignment="1" applyProtection="1">
      <alignment horizontal="center" vertical="top"/>
      <protection hidden="1"/>
    </xf>
    <xf numFmtId="169" fontId="31" fillId="0" borderId="33" xfId="0" applyNumberFormat="1" applyFont="1" applyBorder="1" applyAlignment="1" applyProtection="1">
      <alignment/>
      <protection hidden="1"/>
    </xf>
    <xf numFmtId="0" fontId="16" fillId="0" borderId="0" xfId="0" applyFont="1" applyBorder="1" applyAlignment="1">
      <alignment vertical="center"/>
    </xf>
    <xf numFmtId="0" fontId="29" fillId="0" borderId="75" xfId="0" applyFont="1" applyBorder="1" applyAlignment="1" applyProtection="1">
      <alignment/>
      <protection hidden="1"/>
    </xf>
    <xf numFmtId="0" fontId="16" fillId="0" borderId="54" xfId="0" applyFont="1" applyBorder="1" applyAlignment="1" applyProtection="1">
      <alignment/>
      <protection hidden="1"/>
    </xf>
    <xf numFmtId="169" fontId="16" fillId="0" borderId="54" xfId="0" applyNumberFormat="1" applyFont="1" applyBorder="1" applyAlignment="1" applyProtection="1">
      <alignment/>
      <protection hidden="1"/>
    </xf>
    <xf numFmtId="169" fontId="16" fillId="0" borderId="77" xfId="0" applyNumberFormat="1" applyFont="1" applyBorder="1" applyAlignment="1" applyProtection="1">
      <alignment/>
      <protection hidden="1"/>
    </xf>
    <xf numFmtId="169" fontId="16" fillId="0" borderId="78" xfId="0" applyNumberFormat="1" applyFont="1" applyBorder="1" applyAlignment="1" applyProtection="1">
      <alignment/>
      <protection hidden="1"/>
    </xf>
    <xf numFmtId="169" fontId="16" fillId="0" borderId="0" xfId="0" applyNumberFormat="1" applyFont="1" applyBorder="1" applyAlignment="1">
      <alignment/>
    </xf>
    <xf numFmtId="0" fontId="16" fillId="0" borderId="0" xfId="0" applyFont="1" applyAlignment="1" applyProtection="1">
      <alignment/>
      <protection hidden="1"/>
    </xf>
    <xf numFmtId="0" fontId="30" fillId="0" borderId="79" xfId="0" applyFont="1" applyBorder="1" applyAlignment="1" applyProtection="1">
      <alignment vertical="center"/>
      <protection hidden="1"/>
    </xf>
    <xf numFmtId="0" fontId="30" fillId="0" borderId="80" xfId="0" applyFont="1" applyBorder="1" applyAlignment="1" applyProtection="1">
      <alignment vertical="center"/>
      <protection hidden="1"/>
    </xf>
    <xf numFmtId="0" fontId="16" fillId="0" borderId="81" xfId="0" applyFont="1" applyBorder="1" applyAlignment="1" applyProtection="1">
      <alignment vertical="center"/>
      <protection hidden="1"/>
    </xf>
    <xf numFmtId="169" fontId="27" fillId="0" borderId="82" xfId="0" applyNumberFormat="1" applyFont="1" applyBorder="1" applyAlignment="1" applyProtection="1">
      <alignment vertical="center"/>
      <protection hidden="1"/>
    </xf>
    <xf numFmtId="0" fontId="31" fillId="0" borderId="79" xfId="0" applyFont="1" applyBorder="1" applyAlignment="1" applyProtection="1">
      <alignment/>
      <protection hidden="1"/>
    </xf>
    <xf numFmtId="0" fontId="31" fillId="0" borderId="80" xfId="0" applyFont="1" applyBorder="1" applyAlignment="1" applyProtection="1">
      <alignment/>
      <protection hidden="1"/>
    </xf>
    <xf numFmtId="0" fontId="16" fillId="0" borderId="81" xfId="0" applyFont="1" applyBorder="1" applyAlignment="1" applyProtection="1">
      <alignment/>
      <protection hidden="1"/>
    </xf>
    <xf numFmtId="169" fontId="27" fillId="0" borderId="82" xfId="0" applyNumberFormat="1" applyFont="1" applyBorder="1" applyAlignment="1" applyProtection="1">
      <alignment/>
      <protection hidden="1"/>
    </xf>
    <xf numFmtId="0" fontId="28" fillId="0" borderId="0" xfId="0" applyFont="1" applyBorder="1" applyAlignment="1">
      <alignment/>
    </xf>
    <xf numFmtId="169" fontId="16" fillId="0" borderId="33" xfId="0" applyNumberFormat="1" applyFont="1" applyBorder="1" applyAlignment="1" applyProtection="1">
      <alignment/>
      <protection hidden="1"/>
    </xf>
    <xf numFmtId="169" fontId="27" fillId="0" borderId="33" xfId="0" applyNumberFormat="1" applyFont="1" applyBorder="1" applyAlignment="1" applyProtection="1">
      <alignment horizontal="right"/>
      <protection hidden="1"/>
    </xf>
    <xf numFmtId="1" fontId="31" fillId="0" borderId="0" xfId="0" applyNumberFormat="1" applyFont="1" applyBorder="1" applyAlignment="1">
      <alignment horizontal="right"/>
    </xf>
    <xf numFmtId="0" fontId="16" fillId="0" borderId="83" xfId="0" applyFont="1" applyBorder="1" applyAlignment="1" applyProtection="1">
      <alignment/>
      <protection hidden="1"/>
    </xf>
    <xf numFmtId="169" fontId="16" fillId="0" borderId="64" xfId="0" applyNumberFormat="1" applyFont="1" applyBorder="1" applyAlignment="1" applyProtection="1">
      <alignment/>
      <protection hidden="1"/>
    </xf>
    <xf numFmtId="0" fontId="30" fillId="0" borderId="84" xfId="0" applyFont="1" applyBorder="1" applyAlignment="1" applyProtection="1">
      <alignment horizontal="center" vertical="center"/>
      <protection hidden="1"/>
    </xf>
    <xf numFmtId="0" fontId="31" fillId="0" borderId="0" xfId="0" applyFont="1" applyBorder="1" applyAlignment="1" applyProtection="1">
      <alignment horizontal="left" vertical="center"/>
      <protection hidden="1"/>
    </xf>
    <xf numFmtId="0" fontId="31" fillId="0" borderId="79" xfId="0" applyFont="1" applyBorder="1" applyAlignment="1" applyProtection="1">
      <alignment vertical="center"/>
      <protection hidden="1"/>
    </xf>
    <xf numFmtId="0" fontId="31" fillId="0" borderId="80" xfId="0" applyFont="1" applyBorder="1" applyAlignment="1" applyProtection="1">
      <alignment vertical="center"/>
      <protection hidden="1"/>
    </xf>
    <xf numFmtId="0" fontId="31" fillId="0" borderId="85" xfId="0" applyFont="1" applyBorder="1" applyAlignment="1" applyProtection="1">
      <alignment/>
      <protection hidden="1"/>
    </xf>
    <xf numFmtId="0" fontId="31" fillId="0" borderId="10" xfId="0" applyFont="1" applyBorder="1" applyAlignment="1" applyProtection="1">
      <alignment/>
      <protection hidden="1"/>
    </xf>
    <xf numFmtId="0" fontId="31" fillId="0" borderId="30" xfId="0" applyFont="1" applyBorder="1" applyAlignment="1" applyProtection="1">
      <alignment/>
      <protection hidden="1"/>
    </xf>
    <xf numFmtId="0" fontId="31" fillId="0" borderId="86" xfId="0" applyFont="1" applyBorder="1" applyAlignment="1" applyProtection="1">
      <alignment/>
      <protection hidden="1"/>
    </xf>
    <xf numFmtId="0" fontId="31" fillId="0" borderId="82" xfId="0" applyFont="1" applyBorder="1" applyAlignment="1" applyProtection="1">
      <alignment/>
      <protection hidden="1"/>
    </xf>
    <xf numFmtId="0" fontId="31" fillId="0" borderId="32" xfId="0" applyFont="1" applyBorder="1" applyAlignment="1" applyProtection="1">
      <alignment/>
      <protection hidden="1"/>
    </xf>
    <xf numFmtId="0" fontId="31" fillId="0" borderId="33" xfId="0" applyFont="1" applyBorder="1" applyAlignment="1" applyProtection="1">
      <alignment/>
      <protection hidden="1"/>
    </xf>
    <xf numFmtId="0" fontId="30" fillId="0" borderId="0" xfId="0" applyFont="1" applyBorder="1" applyAlignment="1">
      <alignment horizontal="center"/>
    </xf>
    <xf numFmtId="0" fontId="31" fillId="0" borderId="87" xfId="0" applyFont="1" applyBorder="1" applyAlignment="1" applyProtection="1">
      <alignment horizontal="center"/>
      <protection hidden="1"/>
    </xf>
    <xf numFmtId="0" fontId="31" fillId="0" borderId="22" xfId="0" applyFont="1" applyBorder="1" applyAlignment="1" applyProtection="1">
      <alignment horizontal="center"/>
      <protection hidden="1"/>
    </xf>
    <xf numFmtId="0" fontId="31" fillId="0" borderId="22" xfId="0" applyFont="1" applyBorder="1" applyAlignment="1" applyProtection="1">
      <alignment/>
      <protection hidden="1"/>
    </xf>
    <xf numFmtId="0" fontId="31" fillId="0" borderId="88" xfId="0" applyFont="1" applyBorder="1" applyAlignment="1" applyProtection="1">
      <alignment horizontal="center"/>
      <protection hidden="1"/>
    </xf>
    <xf numFmtId="0" fontId="31" fillId="0" borderId="75" xfId="0" applyFont="1" applyBorder="1" applyAlignment="1" applyProtection="1">
      <alignment horizontal="center"/>
      <protection hidden="1"/>
    </xf>
    <xf numFmtId="0" fontId="31" fillId="0" borderId="27" xfId="0" applyFont="1" applyBorder="1" applyAlignment="1" applyProtection="1">
      <alignment horizontal="center"/>
      <protection hidden="1"/>
    </xf>
    <xf numFmtId="0" fontId="31" fillId="0" borderId="27" xfId="0" applyFont="1" applyBorder="1" applyAlignment="1" applyProtection="1">
      <alignment/>
      <protection hidden="1"/>
    </xf>
    <xf numFmtId="0" fontId="31" fillId="0" borderId="17" xfId="0" applyFont="1" applyBorder="1" applyAlignment="1" applyProtection="1">
      <alignment horizontal="center"/>
      <protection hidden="1"/>
    </xf>
    <xf numFmtId="0" fontId="31" fillId="0" borderId="84" xfId="0" applyFont="1" applyBorder="1" applyAlignment="1" applyProtection="1">
      <alignment/>
      <protection hidden="1"/>
    </xf>
    <xf numFmtId="0" fontId="31" fillId="0" borderId="66" xfId="0" applyFont="1" applyBorder="1" applyAlignment="1" applyProtection="1">
      <alignment horizontal="center"/>
      <protection hidden="1"/>
    </xf>
    <xf numFmtId="0" fontId="31" fillId="0" borderId="15" xfId="0" applyFont="1" applyBorder="1" applyAlignment="1" applyProtection="1">
      <alignment horizontal="center"/>
      <protection hidden="1"/>
    </xf>
    <xf numFmtId="0" fontId="31" fillId="0" borderId="23" xfId="0" applyFont="1" applyBorder="1" applyAlignment="1" applyProtection="1">
      <alignment horizontal="center"/>
      <protection hidden="1"/>
    </xf>
    <xf numFmtId="0" fontId="31" fillId="0" borderId="67" xfId="0" applyFont="1" applyBorder="1" applyAlignment="1" applyProtection="1">
      <alignment horizontal="center"/>
      <protection hidden="1"/>
    </xf>
    <xf numFmtId="0" fontId="31" fillId="0" borderId="84" xfId="0" applyFont="1" applyBorder="1" applyAlignment="1" applyProtection="1">
      <alignment horizontal="center"/>
      <protection hidden="1"/>
    </xf>
    <xf numFmtId="0" fontId="31" fillId="0" borderId="26" xfId="0" applyFont="1" applyBorder="1" applyAlignment="1" applyProtection="1">
      <alignment horizontal="center"/>
      <protection hidden="1"/>
    </xf>
    <xf numFmtId="0" fontId="31" fillId="0" borderId="10" xfId="0" applyFont="1" applyBorder="1" applyAlignment="1" applyProtection="1">
      <alignment horizontal="center"/>
      <protection hidden="1"/>
    </xf>
    <xf numFmtId="0" fontId="31" fillId="0" borderId="25" xfId="0" applyFont="1" applyBorder="1" applyAlignment="1" applyProtection="1">
      <alignment horizontal="center"/>
      <protection hidden="1"/>
    </xf>
    <xf numFmtId="0" fontId="31" fillId="0" borderId="21" xfId="0" applyFont="1" applyBorder="1" applyAlignment="1" applyProtection="1">
      <alignment horizontal="center"/>
      <protection hidden="1"/>
    </xf>
    <xf numFmtId="0" fontId="31" fillId="0" borderId="82" xfId="0" applyFont="1" applyBorder="1" applyAlignment="1" applyProtection="1">
      <alignment horizontal="center"/>
      <protection hidden="1"/>
    </xf>
    <xf numFmtId="0" fontId="31" fillId="0" borderId="20" xfId="0" applyFont="1" applyBorder="1" applyAlignment="1" applyProtection="1">
      <alignment horizontal="center"/>
      <protection hidden="1"/>
    </xf>
    <xf numFmtId="0" fontId="27" fillId="0" borderId="0" xfId="0" applyFont="1" applyBorder="1" applyAlignment="1">
      <alignment horizontal="left"/>
    </xf>
    <xf numFmtId="0" fontId="31" fillId="0" borderId="32" xfId="0" applyFont="1" applyBorder="1" applyAlignment="1" applyProtection="1">
      <alignment horizontal="left"/>
      <protection hidden="1"/>
    </xf>
    <xf numFmtId="0" fontId="31" fillId="0" borderId="33" xfId="0" applyFont="1" applyBorder="1" applyAlignment="1" applyProtection="1">
      <alignment horizontal="left"/>
      <protection hidden="1"/>
    </xf>
    <xf numFmtId="0" fontId="16" fillId="0" borderId="32" xfId="0" applyFont="1" applyBorder="1" applyAlignment="1" applyProtection="1">
      <alignment/>
      <protection hidden="1"/>
    </xf>
    <xf numFmtId="0" fontId="16" fillId="0" borderId="33" xfId="0" applyFont="1" applyBorder="1" applyAlignment="1" applyProtection="1">
      <alignment/>
      <protection hidden="1"/>
    </xf>
    <xf numFmtId="0" fontId="16" fillId="0" borderId="33" xfId="0" applyFont="1" applyBorder="1" applyAlignment="1" applyProtection="1">
      <alignment horizontal="left"/>
      <protection hidden="1"/>
    </xf>
    <xf numFmtId="49" fontId="16" fillId="0" borderId="0" xfId="0" applyNumberFormat="1" applyFont="1" applyBorder="1" applyAlignment="1" applyProtection="1">
      <alignment horizontal="left"/>
      <protection hidden="1"/>
    </xf>
    <xf numFmtId="0" fontId="31" fillId="0" borderId="48" xfId="0" applyFont="1" applyBorder="1" applyAlignment="1">
      <alignment/>
    </xf>
    <xf numFmtId="0" fontId="31" fillId="0" borderId="35" xfId="0" applyFont="1" applyBorder="1" applyAlignment="1">
      <alignment/>
    </xf>
    <xf numFmtId="0" fontId="26" fillId="0" borderId="0" xfId="0" applyFont="1" applyBorder="1" applyAlignment="1" applyProtection="1">
      <alignment horizontal="center" vertical="center"/>
      <protection hidden="1"/>
    </xf>
    <xf numFmtId="0" fontId="41" fillId="0" borderId="0" xfId="0" applyFont="1" applyBorder="1" applyAlignment="1" applyProtection="1">
      <alignment horizontal="left" vertical="center"/>
      <protection hidden="1"/>
    </xf>
    <xf numFmtId="0" fontId="44" fillId="0" borderId="0" xfId="0" applyFont="1" applyBorder="1" applyAlignment="1" applyProtection="1">
      <alignment horizontal="center" vertical="center"/>
      <protection hidden="1"/>
    </xf>
    <xf numFmtId="1" fontId="44" fillId="0" borderId="0" xfId="0" applyNumberFormat="1" applyFont="1" applyBorder="1" applyAlignment="1" applyProtection="1">
      <alignment horizontal="center" vertical="center"/>
      <protection/>
    </xf>
    <xf numFmtId="0" fontId="44" fillId="0" borderId="0" xfId="0" applyFont="1" applyBorder="1" applyAlignment="1" applyProtection="1">
      <alignment horizontal="left" vertical="center"/>
      <protection/>
    </xf>
    <xf numFmtId="0" fontId="44" fillId="0" borderId="0" xfId="0" applyFont="1" applyBorder="1" applyAlignment="1" applyProtection="1">
      <alignment horizontal="left" vertical="center"/>
      <protection hidden="1"/>
    </xf>
    <xf numFmtId="0" fontId="42" fillId="0" borderId="0" xfId="0" applyFont="1" applyBorder="1" applyAlignment="1" applyProtection="1">
      <alignment horizontal="center" vertical="center"/>
      <protection hidden="1"/>
    </xf>
    <xf numFmtId="0" fontId="43" fillId="0" borderId="0"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31" fillId="0" borderId="89" xfId="0" applyFont="1" applyBorder="1" applyAlignment="1" applyProtection="1">
      <alignment/>
      <protection hidden="1"/>
    </xf>
    <xf numFmtId="0" fontId="3" fillId="33" borderId="18" xfId="0" applyFont="1" applyFill="1" applyBorder="1" applyAlignment="1">
      <alignment vertical="center" wrapText="1"/>
    </xf>
    <xf numFmtId="49" fontId="3" fillId="33" borderId="39" xfId="0" applyNumberFormat="1" applyFont="1" applyFill="1" applyBorder="1" applyAlignment="1" applyProtection="1">
      <alignment vertical="center"/>
      <protection locked="0"/>
    </xf>
    <xf numFmtId="49" fontId="56" fillId="33" borderId="39" xfId="0" applyNumberFormat="1" applyFont="1" applyFill="1" applyBorder="1" applyAlignment="1" applyProtection="1">
      <alignment vertical="center"/>
      <protection locked="0"/>
    </xf>
    <xf numFmtId="0" fontId="3" fillId="33" borderId="40" xfId="0" applyFont="1" applyFill="1" applyBorder="1" applyAlignment="1">
      <alignment vertical="center"/>
    </xf>
    <xf numFmtId="181" fontId="56" fillId="33" borderId="0" xfId="0" applyNumberFormat="1" applyFont="1" applyFill="1" applyAlignment="1" applyProtection="1">
      <alignment vertical="center"/>
      <protection locked="0"/>
    </xf>
    <xf numFmtId="0" fontId="0" fillId="0" borderId="13" xfId="0" applyBorder="1" applyAlignment="1">
      <alignment/>
    </xf>
    <xf numFmtId="0" fontId="3" fillId="39" borderId="0" xfId="0" applyFont="1" applyFill="1" applyAlignment="1">
      <alignment horizontal="right" vertical="center"/>
    </xf>
    <xf numFmtId="0" fontId="3" fillId="39" borderId="11" xfId="0" applyFont="1" applyFill="1" applyBorder="1" applyAlignment="1" applyProtection="1">
      <alignment horizontal="right" vertical="center"/>
      <protection locked="0"/>
    </xf>
    <xf numFmtId="1" fontId="15" fillId="0" borderId="20" xfId="0" applyNumberFormat="1" applyFont="1" applyBorder="1" applyAlignment="1">
      <alignment horizontal="center" vertical="center"/>
    </xf>
    <xf numFmtId="0" fontId="65" fillId="33" borderId="16" xfId="0" applyFont="1" applyFill="1" applyBorder="1" applyAlignment="1">
      <alignment vertical="center"/>
    </xf>
    <xf numFmtId="0" fontId="58" fillId="0" borderId="26" xfId="0" applyFont="1" applyBorder="1" applyAlignment="1">
      <alignment vertical="center" wrapText="1"/>
    </xf>
    <xf numFmtId="0" fontId="58" fillId="0" borderId="10" xfId="0" applyFont="1" applyBorder="1" applyAlignment="1">
      <alignment vertical="center" wrapText="1"/>
    </xf>
    <xf numFmtId="0" fontId="59" fillId="0" borderId="26" xfId="0" applyFont="1" applyBorder="1" applyAlignment="1">
      <alignment vertical="center" wrapText="1"/>
    </xf>
    <xf numFmtId="0" fontId="59" fillId="0" borderId="10" xfId="0" applyFont="1" applyBorder="1" applyAlignment="1">
      <alignment vertical="center" wrapText="1"/>
    </xf>
    <xf numFmtId="0" fontId="60" fillId="0" borderId="20" xfId="0" applyFont="1" applyBorder="1" applyAlignment="1">
      <alignment horizontal="left" vertical="center" wrapText="1"/>
    </xf>
    <xf numFmtId="0" fontId="10"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10" fillId="0" borderId="0" xfId="0" applyFont="1" applyAlignment="1">
      <alignment horizontal="center" vertical="center" wrapText="1"/>
    </xf>
    <xf numFmtId="0" fontId="15" fillId="0" borderId="0" xfId="0" applyFont="1" applyBorder="1" applyAlignment="1">
      <alignment horizontal="center" vertical="center"/>
    </xf>
    <xf numFmtId="1" fontId="15" fillId="0" borderId="0" xfId="0" applyNumberFormat="1" applyFont="1" applyBorder="1" applyAlignment="1">
      <alignment horizontal="center" vertical="center"/>
    </xf>
    <xf numFmtId="0" fontId="56" fillId="33" borderId="0" xfId="0" applyFont="1" applyFill="1" applyAlignment="1" applyProtection="1">
      <alignment vertical="center"/>
      <protection locked="0"/>
    </xf>
    <xf numFmtId="0" fontId="58" fillId="0" borderId="20" xfId="0" applyFont="1" applyBorder="1" applyAlignment="1">
      <alignment horizontal="center" vertical="center" wrapText="1"/>
    </xf>
    <xf numFmtId="0" fontId="63" fillId="0" borderId="26" xfId="0" applyFont="1" applyBorder="1" applyAlignment="1">
      <alignment vertical="center" wrapText="1"/>
    </xf>
    <xf numFmtId="0" fontId="3" fillId="41" borderId="11" xfId="0" applyFont="1" applyFill="1" applyBorder="1" applyAlignment="1">
      <alignment horizontal="left" vertical="center" wrapText="1"/>
    </xf>
    <xf numFmtId="0" fontId="3" fillId="42" borderId="11" xfId="0" applyFont="1" applyFill="1" applyBorder="1" applyAlignment="1" applyProtection="1">
      <alignment vertical="center"/>
      <protection locked="0"/>
    </xf>
    <xf numFmtId="0" fontId="3" fillId="42" borderId="11" xfId="0" applyFont="1" applyFill="1" applyBorder="1" applyAlignment="1" applyProtection="1">
      <alignment horizontal="center" vertical="center"/>
      <protection locked="0"/>
    </xf>
    <xf numFmtId="0" fontId="3" fillId="42" borderId="16" xfId="0" applyFont="1" applyFill="1" applyBorder="1" applyAlignment="1" applyProtection="1">
      <alignment vertical="center"/>
      <protection locked="0"/>
    </xf>
    <xf numFmtId="0" fontId="8" fillId="33" borderId="12" xfId="0" applyFont="1" applyFill="1" applyBorder="1" applyAlignment="1">
      <alignment vertical="center"/>
    </xf>
    <xf numFmtId="0" fontId="3" fillId="33" borderId="36" xfId="0" applyFont="1" applyFill="1" applyBorder="1" applyAlignment="1">
      <alignmen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67" fillId="40" borderId="36" xfId="0" applyFont="1" applyFill="1" applyBorder="1" applyAlignment="1">
      <alignment vertical="center"/>
    </xf>
    <xf numFmtId="0" fontId="68" fillId="40" borderId="37" xfId="0" applyFont="1" applyFill="1" applyBorder="1" applyAlignment="1">
      <alignment vertical="center"/>
    </xf>
    <xf numFmtId="0" fontId="0" fillId="34" borderId="0" xfId="0" applyFill="1" applyAlignment="1">
      <alignment horizontal="left" vertical="center" wrapText="1"/>
    </xf>
    <xf numFmtId="0" fontId="49" fillId="33" borderId="20" xfId="0" applyFont="1" applyFill="1" applyBorder="1" applyAlignment="1">
      <alignment horizontal="left" vertical="center" wrapText="1"/>
    </xf>
    <xf numFmtId="0" fontId="47" fillId="34" borderId="0" xfId="0" applyFont="1" applyFill="1" applyAlignment="1">
      <alignment horizontal="left" vertical="center" wrapText="1"/>
    </xf>
    <xf numFmtId="0" fontId="45" fillId="33" borderId="88" xfId="0" applyFont="1" applyFill="1" applyBorder="1" applyAlignment="1">
      <alignment horizontal="left" vertical="center" wrapText="1"/>
    </xf>
    <xf numFmtId="0" fontId="45" fillId="33" borderId="17" xfId="0" applyFont="1" applyFill="1" applyBorder="1" applyAlignment="1">
      <alignment horizontal="left" vertical="center" wrapText="1"/>
    </xf>
    <xf numFmtId="0" fontId="45" fillId="33" borderId="29" xfId="0" applyFont="1" applyFill="1" applyBorder="1" applyAlignment="1">
      <alignment horizontal="left" vertical="center" wrapText="1"/>
    </xf>
    <xf numFmtId="0" fontId="45" fillId="33" borderId="19" xfId="0" applyFont="1" applyFill="1" applyBorder="1" applyAlignment="1">
      <alignment horizontal="left" vertical="center" wrapText="1"/>
    </xf>
    <xf numFmtId="0" fontId="46" fillId="34" borderId="0" xfId="0" applyFont="1" applyFill="1" applyAlignment="1">
      <alignment horizontal="left" vertical="center"/>
    </xf>
    <xf numFmtId="0" fontId="3" fillId="42" borderId="16" xfId="0" applyFont="1" applyFill="1" applyBorder="1" applyAlignment="1" applyProtection="1">
      <alignment horizontal="center" vertical="center"/>
      <protection locked="0"/>
    </xf>
    <xf numFmtId="0" fontId="3" fillId="42" borderId="43" xfId="0" applyFont="1" applyFill="1" applyBorder="1" applyAlignment="1" applyProtection="1">
      <alignment horizontal="center" vertical="center"/>
      <protection locked="0"/>
    </xf>
    <xf numFmtId="0" fontId="3" fillId="42" borderId="12" xfId="0" applyFont="1" applyFill="1" applyBorder="1" applyAlignment="1" applyProtection="1">
      <alignment horizontal="center" vertical="center"/>
      <protection locked="0"/>
    </xf>
    <xf numFmtId="0" fontId="3" fillId="33" borderId="0" xfId="0" applyFont="1" applyFill="1" applyAlignment="1" applyProtection="1">
      <alignment horizontal="left" vertical="center"/>
      <protection locked="0"/>
    </xf>
    <xf numFmtId="0" fontId="3" fillId="42" borderId="18" xfId="0" applyFont="1" applyFill="1" applyBorder="1" applyAlignment="1" applyProtection="1">
      <alignment horizontal="center" vertical="center"/>
      <protection locked="0"/>
    </xf>
    <xf numFmtId="0" fontId="3" fillId="42" borderId="14" xfId="0" applyFont="1" applyFill="1" applyBorder="1" applyAlignment="1" applyProtection="1">
      <alignment horizontal="center" vertical="center"/>
      <protection locked="0"/>
    </xf>
    <xf numFmtId="0" fontId="13" fillId="43" borderId="18" xfId="0" applyFont="1" applyFill="1" applyBorder="1" applyAlignment="1">
      <alignment horizontal="center" vertical="center"/>
    </xf>
    <xf numFmtId="0" fontId="13" fillId="43" borderId="40"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8" xfId="0" applyFont="1" applyFill="1" applyBorder="1" applyAlignment="1">
      <alignment horizontal="righ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8"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25" fillId="43" borderId="18" xfId="0" applyFont="1" applyFill="1" applyBorder="1" applyAlignment="1">
      <alignment horizontal="left" vertical="center" wrapText="1"/>
    </xf>
    <xf numFmtId="0" fontId="25" fillId="43" borderId="13" xfId="0" applyFont="1" applyFill="1" applyBorder="1" applyAlignment="1">
      <alignment horizontal="left" vertical="center" wrapText="1"/>
    </xf>
    <xf numFmtId="0" fontId="25" fillId="43" borderId="14" xfId="0" applyFont="1" applyFill="1" applyBorder="1" applyAlignment="1">
      <alignment horizontal="left" vertical="center" wrapText="1"/>
    </xf>
    <xf numFmtId="0" fontId="25" fillId="44" borderId="18" xfId="0" applyFont="1" applyFill="1" applyBorder="1" applyAlignment="1">
      <alignment horizontal="left" vertical="center"/>
    </xf>
    <xf numFmtId="0" fontId="25" fillId="44" borderId="13" xfId="0" applyFont="1" applyFill="1" applyBorder="1" applyAlignment="1">
      <alignment horizontal="left" vertical="center"/>
    </xf>
    <xf numFmtId="0" fontId="25" fillId="44" borderId="14" xfId="0" applyFont="1" applyFill="1" applyBorder="1" applyAlignment="1">
      <alignment horizontal="left" vertical="center"/>
    </xf>
    <xf numFmtId="0" fontId="4" fillId="42" borderId="18" xfId="0" applyFont="1" applyFill="1" applyBorder="1" applyAlignment="1" applyProtection="1">
      <alignment horizontal="center" vertical="center" wrapText="1"/>
      <protection locked="0"/>
    </xf>
    <xf numFmtId="0" fontId="4" fillId="42" borderId="14" xfId="0" applyFont="1" applyFill="1" applyBorder="1" applyAlignment="1" applyProtection="1">
      <alignment horizontal="center" vertical="center" wrapText="1"/>
      <protection locked="0"/>
    </xf>
    <xf numFmtId="1" fontId="7" fillId="33" borderId="0" xfId="0" applyNumberFormat="1" applyFont="1" applyFill="1" applyBorder="1" applyAlignment="1" applyProtection="1">
      <alignment horizontal="center" vertical="center"/>
      <protection locked="0"/>
    </xf>
    <xf numFmtId="0" fontId="3" fillId="42" borderId="18" xfId="0" applyFont="1" applyFill="1" applyBorder="1" applyAlignment="1" applyProtection="1">
      <alignment horizontal="left" vertical="center"/>
      <protection locked="0"/>
    </xf>
    <xf numFmtId="0" fontId="3" fillId="42" borderId="13" xfId="0" applyFont="1" applyFill="1" applyBorder="1" applyAlignment="1" applyProtection="1">
      <alignment horizontal="left" vertical="center"/>
      <protection locked="0"/>
    </xf>
    <xf numFmtId="0" fontId="3" fillId="42" borderId="14" xfId="0" applyFont="1" applyFill="1" applyBorder="1" applyAlignment="1" applyProtection="1">
      <alignment horizontal="left" vertical="center"/>
      <protection locked="0"/>
    </xf>
    <xf numFmtId="0" fontId="3" fillId="42" borderId="92" xfId="0" applyFont="1" applyFill="1" applyBorder="1" applyAlignment="1" applyProtection="1">
      <alignment horizontal="left" vertical="center"/>
      <protection locked="0"/>
    </xf>
    <xf numFmtId="0" fontId="3" fillId="42" borderId="93" xfId="0" applyFont="1" applyFill="1" applyBorder="1" applyAlignment="1" applyProtection="1">
      <alignment horizontal="left" vertical="center"/>
      <protection locked="0"/>
    </xf>
    <xf numFmtId="0" fontId="3" fillId="42" borderId="94" xfId="0" applyFont="1" applyFill="1" applyBorder="1" applyAlignment="1" applyProtection="1">
      <alignment horizontal="left" vertical="center"/>
      <protection locked="0"/>
    </xf>
    <xf numFmtId="0" fontId="5" fillId="42" borderId="18" xfId="0" applyFont="1" applyFill="1" applyBorder="1" applyAlignment="1" applyProtection="1">
      <alignment horizontal="left" vertical="center"/>
      <protection locked="0"/>
    </xf>
    <xf numFmtId="0" fontId="5" fillId="42" borderId="14" xfId="0" applyFont="1" applyFill="1" applyBorder="1" applyAlignment="1" applyProtection="1">
      <alignment horizontal="left" vertical="center"/>
      <protection locked="0"/>
    </xf>
    <xf numFmtId="0" fontId="3" fillId="33" borderId="18"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2" fillId="43" borderId="22" xfId="0" applyFont="1" applyFill="1" applyBorder="1" applyAlignment="1">
      <alignment horizontal="center" vertical="center"/>
    </xf>
    <xf numFmtId="0" fontId="22" fillId="43" borderId="10" xfId="0" applyFont="1" applyFill="1" applyBorder="1" applyAlignment="1">
      <alignment horizontal="center" vertical="center"/>
    </xf>
    <xf numFmtId="0" fontId="22" fillId="43" borderId="24" xfId="0" applyFont="1" applyFill="1" applyBorder="1" applyAlignment="1">
      <alignment horizontal="center" vertical="center"/>
    </xf>
    <xf numFmtId="0" fontId="22" fillId="43" borderId="88" xfId="0" applyFont="1" applyFill="1" applyBorder="1" applyAlignment="1">
      <alignment horizontal="center" vertical="center"/>
    </xf>
    <xf numFmtId="0" fontId="55" fillId="42" borderId="18" xfId="0" applyFont="1" applyFill="1" applyBorder="1" applyAlignment="1" applyProtection="1">
      <alignment horizontal="left" vertical="center"/>
      <protection locked="0"/>
    </xf>
    <xf numFmtId="0" fontId="55" fillId="42" borderId="13" xfId="0" applyFont="1" applyFill="1" applyBorder="1" applyAlignment="1" applyProtection="1">
      <alignment horizontal="left" vertical="center"/>
      <protection locked="0"/>
    </xf>
    <xf numFmtId="0" fontId="55" fillId="42" borderId="14" xfId="0" applyFont="1" applyFill="1" applyBorder="1" applyAlignment="1" applyProtection="1">
      <alignment horizontal="left" vertical="center"/>
      <protection locked="0"/>
    </xf>
    <xf numFmtId="0" fontId="3" fillId="33" borderId="18"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24" xfId="0" applyFont="1" applyFill="1" applyBorder="1" applyAlignment="1" applyProtection="1">
      <alignment horizontal="center" vertical="center"/>
      <protection locked="0"/>
    </xf>
    <xf numFmtId="0" fontId="103" fillId="45" borderId="18" xfId="0" applyFont="1" applyFill="1" applyBorder="1" applyAlignment="1">
      <alignment horizontal="left" vertical="center"/>
    </xf>
    <xf numFmtId="0" fontId="103" fillId="45" borderId="13" xfId="0" applyFont="1" applyFill="1" applyBorder="1" applyAlignment="1">
      <alignment horizontal="left" vertical="center"/>
    </xf>
    <xf numFmtId="0" fontId="103" fillId="45" borderId="14" xfId="0" applyFont="1" applyFill="1" applyBorder="1" applyAlignment="1">
      <alignment horizontal="left" vertical="center"/>
    </xf>
    <xf numFmtId="14" fontId="104" fillId="45" borderId="36" xfId="0" applyNumberFormat="1" applyFont="1" applyFill="1" applyBorder="1" applyAlignment="1">
      <alignment horizontal="center" vertical="center" wrapText="1"/>
    </xf>
    <xf numFmtId="14" fontId="104" fillId="45" borderId="28" xfId="0" applyNumberFormat="1" applyFont="1" applyFill="1" applyBorder="1" applyAlignment="1">
      <alignment horizontal="center" vertical="center" wrapText="1"/>
    </xf>
    <xf numFmtId="14" fontId="104" fillId="45" borderId="42" xfId="0" applyNumberFormat="1" applyFont="1" applyFill="1" applyBorder="1" applyAlignment="1">
      <alignment horizontal="center" vertical="center" wrapText="1"/>
    </xf>
    <xf numFmtId="0" fontId="57" fillId="33" borderId="18" xfId="0" applyFont="1" applyFill="1" applyBorder="1" applyAlignment="1">
      <alignment horizontal="left" vertical="center" indent="1"/>
    </xf>
    <xf numFmtId="0" fontId="57" fillId="33" borderId="13" xfId="0" applyFont="1" applyFill="1" applyBorder="1" applyAlignment="1">
      <alignment horizontal="left" vertical="center" indent="1"/>
    </xf>
    <xf numFmtId="0" fontId="57" fillId="33" borderId="14" xfId="0" applyFont="1" applyFill="1" applyBorder="1" applyAlignment="1">
      <alignment horizontal="left" vertical="center" indent="1"/>
    </xf>
    <xf numFmtId="0" fontId="4" fillId="33" borderId="20" xfId="0" applyFont="1" applyFill="1" applyBorder="1" applyAlignment="1" applyProtection="1">
      <alignment horizontal="left" vertical="center"/>
      <protection locked="0"/>
    </xf>
    <xf numFmtId="0" fontId="25" fillId="43" borderId="18" xfId="0" applyFont="1" applyFill="1" applyBorder="1" applyAlignment="1">
      <alignment horizontal="left" vertical="center"/>
    </xf>
    <xf numFmtId="0" fontId="25" fillId="43" borderId="13" xfId="0" applyFont="1" applyFill="1" applyBorder="1" applyAlignment="1">
      <alignment horizontal="left" vertical="center"/>
    </xf>
    <xf numFmtId="0" fontId="25" fillId="43" borderId="14" xfId="0" applyFont="1" applyFill="1" applyBorder="1" applyAlignment="1">
      <alignment horizontal="left" vertical="center"/>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3" fillId="33" borderId="20" xfId="0" applyFont="1" applyFill="1" applyBorder="1" applyAlignment="1" applyProtection="1">
      <alignment horizontal="center" vertical="center"/>
      <protection locked="0"/>
    </xf>
    <xf numFmtId="1" fontId="3" fillId="42" borderId="18" xfId="0" applyNumberFormat="1" applyFont="1" applyFill="1" applyBorder="1" applyAlignment="1" applyProtection="1">
      <alignment horizontal="center" vertical="center"/>
      <protection hidden="1"/>
    </xf>
    <xf numFmtId="0" fontId="3" fillId="42" borderId="14" xfId="0" applyFont="1" applyFill="1" applyBorder="1" applyAlignment="1" applyProtection="1">
      <alignment horizontal="center" vertical="center"/>
      <protection hidden="1"/>
    </xf>
    <xf numFmtId="0" fontId="3" fillId="33" borderId="0" xfId="0" applyFont="1" applyFill="1" applyAlignment="1" applyProtection="1">
      <alignment horizontal="center" vertical="center"/>
      <protection locked="0"/>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4" xfId="0" applyFont="1" applyFill="1" applyBorder="1" applyAlignment="1">
      <alignment horizontal="left" vertical="center"/>
    </xf>
    <xf numFmtId="0" fontId="9" fillId="33" borderId="18"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3" fillId="42" borderId="13" xfId="0" applyFont="1" applyFill="1" applyBorder="1" applyAlignment="1" applyProtection="1">
      <alignment horizontal="center" vertical="center"/>
      <protection locked="0"/>
    </xf>
    <xf numFmtId="0" fontId="3" fillId="33" borderId="20" xfId="0" applyFont="1" applyFill="1" applyBorder="1" applyAlignment="1" applyProtection="1">
      <alignment horizontal="left" vertical="center"/>
      <protection locked="0"/>
    </xf>
    <xf numFmtId="0" fontId="9" fillId="33" borderId="18" xfId="0" applyFont="1" applyFill="1" applyBorder="1" applyAlignment="1">
      <alignment horizontal="center" vertical="center" wrapText="1"/>
    </xf>
    <xf numFmtId="0" fontId="3" fillId="33" borderId="42" xfId="0" applyFont="1" applyFill="1" applyBorder="1" applyAlignment="1">
      <alignment horizontal="center" vertical="center"/>
    </xf>
    <xf numFmtId="0" fontId="3" fillId="33" borderId="38"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105" fillId="46" borderId="28" xfId="0" applyFont="1" applyFill="1" applyBorder="1" applyAlignment="1" applyProtection="1">
      <alignment horizontal="center" vertical="center" textRotation="180" wrapText="1"/>
      <protection/>
    </xf>
    <xf numFmtId="0" fontId="105" fillId="46" borderId="42" xfId="0" applyFont="1" applyFill="1" applyBorder="1" applyAlignment="1" applyProtection="1">
      <alignment horizontal="center" vertical="center" textRotation="180" wrapText="1"/>
      <protection/>
    </xf>
    <xf numFmtId="0" fontId="105" fillId="46" borderId="0" xfId="0" applyFont="1" applyFill="1" applyBorder="1" applyAlignment="1" applyProtection="1">
      <alignment horizontal="center" vertical="center" textRotation="180" wrapText="1"/>
      <protection/>
    </xf>
    <xf numFmtId="0" fontId="105" fillId="46" borderId="39" xfId="0" applyFont="1" applyFill="1" applyBorder="1" applyAlignment="1" applyProtection="1">
      <alignment horizontal="center" vertical="center" textRotation="180" wrapText="1"/>
      <protection/>
    </xf>
    <xf numFmtId="0" fontId="105" fillId="46" borderId="31" xfId="0" applyFont="1" applyFill="1" applyBorder="1" applyAlignment="1" applyProtection="1">
      <alignment horizontal="center" vertical="center" textRotation="180" wrapText="1"/>
      <protection/>
    </xf>
    <xf numFmtId="0" fontId="105" fillId="46" borderId="40" xfId="0" applyFont="1" applyFill="1" applyBorder="1" applyAlignment="1" applyProtection="1">
      <alignment horizontal="center" vertical="center" textRotation="180" wrapText="1"/>
      <protection/>
    </xf>
    <xf numFmtId="0" fontId="106" fillId="41" borderId="36" xfId="0" applyFont="1" applyFill="1" applyBorder="1" applyAlignment="1">
      <alignment horizontal="center" vertical="center" wrapText="1"/>
    </xf>
    <xf numFmtId="0" fontId="106" fillId="41" borderId="37" xfId="0" applyFont="1" applyFill="1" applyBorder="1" applyAlignment="1">
      <alignment horizontal="center" vertical="center" wrapText="1"/>
    </xf>
    <xf numFmtId="0" fontId="106" fillId="41" borderId="38" xfId="0" applyFont="1" applyFill="1" applyBorder="1" applyAlignment="1">
      <alignment horizontal="center" vertical="center" wrapText="1"/>
    </xf>
    <xf numFmtId="0" fontId="9" fillId="33" borderId="95" xfId="0" applyFont="1" applyFill="1" applyBorder="1" applyAlignment="1">
      <alignment horizontal="center" vertical="center"/>
    </xf>
    <xf numFmtId="0" fontId="106" fillId="41" borderId="28" xfId="0" applyFont="1" applyFill="1" applyBorder="1" applyAlignment="1">
      <alignment horizontal="center" vertical="center" wrapText="1"/>
    </xf>
    <xf numFmtId="0" fontId="106" fillId="41" borderId="42" xfId="0" applyFont="1" applyFill="1" applyBorder="1" applyAlignment="1">
      <alignment horizontal="center" vertical="center" wrapText="1"/>
    </xf>
    <xf numFmtId="0" fontId="106" fillId="41" borderId="0" xfId="0" applyFont="1" applyFill="1" applyBorder="1" applyAlignment="1">
      <alignment horizontal="center" vertical="center" wrapText="1"/>
    </xf>
    <xf numFmtId="0" fontId="106" fillId="41" borderId="39" xfId="0" applyFont="1" applyFill="1" applyBorder="1" applyAlignment="1">
      <alignment horizontal="center" vertical="center" wrapText="1"/>
    </xf>
    <xf numFmtId="0" fontId="106" fillId="41" borderId="31" xfId="0" applyFont="1" applyFill="1" applyBorder="1" applyAlignment="1">
      <alignment horizontal="center" vertical="center" wrapText="1"/>
    </xf>
    <xf numFmtId="0" fontId="106" fillId="41" borderId="40" xfId="0" applyFont="1" applyFill="1" applyBorder="1" applyAlignment="1">
      <alignment horizontal="center" vertical="center" wrapText="1"/>
    </xf>
    <xf numFmtId="0" fontId="66" fillId="17" borderId="36"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42" xfId="0" applyFont="1" applyFill="1" applyBorder="1" applyAlignment="1">
      <alignment horizontal="center" vertical="center" wrapText="1"/>
    </xf>
    <xf numFmtId="0" fontId="66" fillId="17" borderId="37" xfId="0" applyFont="1" applyFill="1" applyBorder="1" applyAlignment="1">
      <alignment horizontal="center" vertical="center" wrapText="1"/>
    </xf>
    <xf numFmtId="0" fontId="66" fillId="17" borderId="0" xfId="0" applyFont="1" applyFill="1" applyBorder="1" applyAlignment="1">
      <alignment horizontal="center" vertical="center" wrapText="1"/>
    </xf>
    <xf numFmtId="0" fontId="66" fillId="17" borderId="39"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66" fillId="17" borderId="31" xfId="0" applyFont="1" applyFill="1" applyBorder="1" applyAlignment="1">
      <alignment horizontal="center" vertical="center" wrapText="1"/>
    </xf>
    <xf numFmtId="0" fontId="66" fillId="17" borderId="40" xfId="0" applyFont="1" applyFill="1" applyBorder="1" applyAlignment="1">
      <alignment horizontal="center" vertical="center" wrapText="1"/>
    </xf>
    <xf numFmtId="0" fontId="15" fillId="0" borderId="26" xfId="0" applyFont="1" applyBorder="1" applyAlignment="1">
      <alignment horizontal="center" vertical="center"/>
    </xf>
    <xf numFmtId="0" fontId="15" fillId="0" borderId="21" xfId="0" applyFont="1" applyBorder="1" applyAlignment="1">
      <alignment horizontal="center" vertical="center"/>
    </xf>
    <xf numFmtId="0" fontId="14" fillId="0" borderId="0" xfId="0" applyFont="1" applyAlignment="1">
      <alignment horizontal="center" vertical="center"/>
    </xf>
    <xf numFmtId="0" fontId="15" fillId="0" borderId="41" xfId="0" applyFont="1" applyBorder="1" applyAlignment="1">
      <alignment horizontal="center" vertical="center"/>
    </xf>
    <xf numFmtId="17" fontId="16" fillId="0" borderId="54" xfId="0" applyNumberFormat="1" applyFont="1" applyBorder="1" applyAlignment="1" applyProtection="1">
      <alignment horizontal="center"/>
      <protection hidden="1"/>
    </xf>
    <xf numFmtId="0" fontId="27" fillId="0" borderId="32" xfId="0" applyFont="1" applyBorder="1" applyAlignment="1">
      <alignment horizontal="left"/>
    </xf>
    <xf numFmtId="0" fontId="27" fillId="0" borderId="0" xfId="0" applyFont="1" applyBorder="1" applyAlignment="1">
      <alignment horizontal="left"/>
    </xf>
    <xf numFmtId="0" fontId="27" fillId="0" borderId="0" xfId="0" applyFont="1" applyBorder="1" applyAlignment="1">
      <alignment horizontal="center"/>
    </xf>
    <xf numFmtId="0" fontId="27" fillId="0" borderId="33" xfId="0" applyFont="1" applyBorder="1" applyAlignment="1">
      <alignment horizontal="center"/>
    </xf>
    <xf numFmtId="0" fontId="24" fillId="0" borderId="0" xfId="0" applyFont="1" applyBorder="1" applyAlignment="1" applyProtection="1">
      <alignment/>
      <protection hidden="1"/>
    </xf>
    <xf numFmtId="0" fontId="16" fillId="0" borderId="0" xfId="0" applyFont="1" applyBorder="1" applyAlignment="1" applyProtection="1">
      <alignment horizontal="left"/>
      <protection hidden="1"/>
    </xf>
    <xf numFmtId="0" fontId="30" fillId="0" borderId="66" xfId="0" applyFont="1" applyBorder="1" applyAlignment="1" applyProtection="1">
      <alignment horizontal="left"/>
      <protection hidden="1"/>
    </xf>
    <xf numFmtId="0" fontId="30" fillId="0" borderId="15" xfId="0" applyFont="1" applyBorder="1" applyAlignment="1" applyProtection="1">
      <alignment horizontal="left"/>
      <protection hidden="1"/>
    </xf>
    <xf numFmtId="0" fontId="16" fillId="0" borderId="27" xfId="0" applyFont="1" applyBorder="1" applyAlignment="1" applyProtection="1">
      <alignment horizontal="left"/>
      <protection hidden="1"/>
    </xf>
    <xf numFmtId="0" fontId="30" fillId="0" borderId="27" xfId="0" applyFont="1" applyBorder="1" applyAlignment="1" applyProtection="1">
      <alignment horizontal="left"/>
      <protection hidden="1"/>
    </xf>
    <xf numFmtId="0" fontId="30" fillId="0" borderId="0" xfId="0" applyFont="1" applyBorder="1" applyAlignment="1" applyProtection="1">
      <alignment horizontal="left"/>
      <protection hidden="1"/>
    </xf>
    <xf numFmtId="0" fontId="16" fillId="0" borderId="0" xfId="0" applyFont="1" applyBorder="1" applyAlignment="1" applyProtection="1">
      <alignment/>
      <protection hidden="1"/>
    </xf>
    <xf numFmtId="0" fontId="27" fillId="0" borderId="15" xfId="0" applyFont="1" applyBorder="1" applyAlignment="1" applyProtection="1">
      <alignment horizontal="left" vertical="center" wrapText="1"/>
      <protection hidden="1"/>
    </xf>
    <xf numFmtId="0" fontId="27" fillId="0" borderId="15" xfId="0" applyFont="1" applyBorder="1" applyAlignment="1" applyProtection="1">
      <alignment horizontal="center" vertical="center"/>
      <protection hidden="1"/>
    </xf>
    <xf numFmtId="0" fontId="30" fillId="0" borderId="89" xfId="0" applyFont="1" applyBorder="1" applyAlignment="1" applyProtection="1">
      <alignment horizontal="right" vertical="center"/>
      <protection hidden="1"/>
    </xf>
    <xf numFmtId="0" fontId="27" fillId="0" borderId="27" xfId="0" applyFont="1" applyBorder="1" applyAlignment="1" applyProtection="1">
      <alignment horizontal="left"/>
      <protection hidden="1"/>
    </xf>
    <xf numFmtId="0" fontId="27" fillId="0" borderId="0" xfId="0" applyFont="1" applyBorder="1" applyAlignment="1" applyProtection="1">
      <alignment horizontal="left"/>
      <protection hidden="1"/>
    </xf>
    <xf numFmtId="0" fontId="31" fillId="0" borderId="0" xfId="0" applyFont="1" applyBorder="1" applyAlignment="1" applyProtection="1">
      <alignment horizontal="left"/>
      <protection hidden="1"/>
    </xf>
    <xf numFmtId="0" fontId="31" fillId="0" borderId="0" xfId="0" applyFont="1" applyBorder="1" applyAlignment="1" applyProtection="1">
      <alignment horizontal="center"/>
      <protection hidden="1"/>
    </xf>
    <xf numFmtId="0" fontId="27" fillId="0" borderId="68" xfId="0" applyFont="1" applyBorder="1" applyAlignment="1" applyProtection="1">
      <alignment horizontal="left" vertical="center"/>
      <protection hidden="1"/>
    </xf>
    <xf numFmtId="0" fontId="27" fillId="0" borderId="89" xfId="0" applyFont="1" applyBorder="1" applyAlignment="1" applyProtection="1">
      <alignment horizontal="left" vertical="center"/>
      <protection hidden="1"/>
    </xf>
    <xf numFmtId="0" fontId="30" fillId="0" borderId="17" xfId="0" applyFont="1" applyBorder="1" applyAlignment="1" applyProtection="1">
      <alignment horizontal="left"/>
      <protection hidden="1"/>
    </xf>
    <xf numFmtId="0" fontId="16" fillId="0" borderId="0" xfId="0" applyFont="1" applyBorder="1" applyAlignment="1" applyProtection="1">
      <alignment horizontal="left" shrinkToFit="1"/>
      <protection hidden="1"/>
    </xf>
    <xf numFmtId="0" fontId="16" fillId="0" borderId="74" xfId="0" applyFont="1" applyBorder="1" applyAlignment="1" applyProtection="1">
      <alignment horizontal="center"/>
      <protection hidden="1"/>
    </xf>
    <xf numFmtId="0" fontId="29" fillId="0" borderId="96" xfId="0" applyFont="1" applyBorder="1" applyAlignment="1" applyProtection="1">
      <alignment horizontal="left" vertical="center"/>
      <protection hidden="1"/>
    </xf>
    <xf numFmtId="0" fontId="29" fillId="0" borderId="24" xfId="0" applyFont="1" applyBorder="1" applyAlignment="1" applyProtection="1">
      <alignment horizontal="left" vertical="center"/>
      <protection hidden="1"/>
    </xf>
    <xf numFmtId="0" fontId="27" fillId="0" borderId="24" xfId="0" applyFont="1" applyBorder="1" applyAlignment="1" applyProtection="1">
      <alignment horizontal="left" vertical="center" shrinkToFit="1"/>
      <protection hidden="1"/>
    </xf>
    <xf numFmtId="0" fontId="27" fillId="0" borderId="71" xfId="0" applyFont="1" applyBorder="1" applyAlignment="1" applyProtection="1">
      <alignment horizontal="left" vertical="center" shrinkToFit="1"/>
      <protection hidden="1"/>
    </xf>
    <xf numFmtId="0" fontId="16" fillId="0" borderId="97" xfId="0" applyFont="1" applyBorder="1" applyAlignment="1" applyProtection="1">
      <alignment horizontal="center"/>
      <protection hidden="1"/>
    </xf>
    <xf numFmtId="0" fontId="62" fillId="0" borderId="65" xfId="0" applyFont="1" applyBorder="1" applyAlignment="1" applyProtection="1">
      <alignment horizontal="center" vertical="center"/>
      <protection hidden="1"/>
    </xf>
    <xf numFmtId="0" fontId="62" fillId="0" borderId="15" xfId="0" applyFont="1" applyBorder="1" applyAlignment="1" applyProtection="1">
      <alignment horizontal="center" vertical="center"/>
      <protection hidden="1"/>
    </xf>
    <xf numFmtId="0" fontId="62" fillId="0" borderId="67" xfId="0" applyFont="1" applyBorder="1" applyAlignment="1" applyProtection="1">
      <alignment horizontal="center" vertical="center"/>
      <protection hidden="1"/>
    </xf>
    <xf numFmtId="0" fontId="30" fillId="0" borderId="89" xfId="0" applyFont="1" applyBorder="1" applyAlignment="1" applyProtection="1">
      <alignment horizontal="left" vertical="center"/>
      <protection hidden="1"/>
    </xf>
    <xf numFmtId="0" fontId="30" fillId="0" borderId="69" xfId="0" applyFont="1" applyBorder="1" applyAlignment="1" applyProtection="1">
      <alignment horizontal="left" vertical="center"/>
      <protection hidden="1"/>
    </xf>
    <xf numFmtId="0" fontId="16" fillId="0" borderId="65" xfId="0" applyFont="1" applyBorder="1" applyAlignment="1" applyProtection="1">
      <alignment horizontal="left" vertical="center"/>
      <protection hidden="1"/>
    </xf>
    <xf numFmtId="0" fontId="16" fillId="0" borderId="15" xfId="0" applyFont="1" applyBorder="1" applyAlignment="1" applyProtection="1">
      <alignment horizontal="left" vertical="center"/>
      <protection hidden="1"/>
    </xf>
    <xf numFmtId="0" fontId="27" fillId="0" borderId="15" xfId="0" applyFont="1" applyBorder="1" applyAlignment="1" applyProtection="1">
      <alignment horizontal="left" vertical="center" shrinkToFit="1"/>
      <protection hidden="1"/>
    </xf>
    <xf numFmtId="0" fontId="27" fillId="0" borderId="67" xfId="0" applyFont="1" applyBorder="1" applyAlignment="1" applyProtection="1">
      <alignment horizontal="left" vertical="center" shrinkToFit="1"/>
      <protection hidden="1"/>
    </xf>
    <xf numFmtId="0" fontId="27" fillId="0" borderId="24" xfId="0" applyFont="1" applyBorder="1" applyAlignment="1" applyProtection="1">
      <alignment horizontal="left" vertical="center"/>
      <protection hidden="1"/>
    </xf>
    <xf numFmtId="0" fontId="27" fillId="0" borderId="24" xfId="0" applyFont="1" applyBorder="1" applyAlignment="1" applyProtection="1">
      <alignment horizontal="center" vertical="center"/>
      <protection hidden="1"/>
    </xf>
    <xf numFmtId="0" fontId="16" fillId="0" borderId="27"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6" fillId="0" borderId="27" xfId="0" applyFont="1" applyBorder="1" applyAlignment="1" applyProtection="1">
      <alignment horizontal="center" vertical="center"/>
      <protection hidden="1"/>
    </xf>
    <xf numFmtId="0" fontId="16" fillId="0" borderId="17" xfId="0" applyFont="1" applyBorder="1" applyAlignment="1" applyProtection="1">
      <alignment horizontal="center" vertical="center"/>
      <protection hidden="1"/>
    </xf>
    <xf numFmtId="0" fontId="35" fillId="0" borderId="48" xfId="0" applyFont="1" applyBorder="1" applyAlignment="1" applyProtection="1">
      <alignment vertical="center"/>
      <protection hidden="1"/>
    </xf>
    <xf numFmtId="0" fontId="35" fillId="0" borderId="34" xfId="0" applyFont="1" applyBorder="1" applyAlignment="1" applyProtection="1">
      <alignment vertical="center"/>
      <protection hidden="1"/>
    </xf>
    <xf numFmtId="0" fontId="31" fillId="0" borderId="34" xfId="0" applyFont="1" applyBorder="1" applyAlignment="1" applyProtection="1">
      <alignment vertical="center"/>
      <protection hidden="1"/>
    </xf>
    <xf numFmtId="0" fontId="31" fillId="0" borderId="35" xfId="0" applyFont="1" applyBorder="1" applyAlignment="1" applyProtection="1">
      <alignment vertical="center"/>
      <protection hidden="1"/>
    </xf>
    <xf numFmtId="3" fontId="31" fillId="0" borderId="0" xfId="0" applyNumberFormat="1" applyFont="1" applyBorder="1" applyAlignment="1" applyProtection="1">
      <alignment vertical="center"/>
      <protection hidden="1"/>
    </xf>
    <xf numFmtId="3" fontId="30" fillId="0" borderId="27" xfId="0" applyNumberFormat="1" applyFont="1" applyBorder="1" applyAlignment="1" applyProtection="1">
      <alignment vertical="center"/>
      <protection hidden="1"/>
    </xf>
    <xf numFmtId="3" fontId="30" fillId="0" borderId="0" xfId="0" applyNumberFormat="1" applyFont="1" applyBorder="1" applyAlignment="1" applyProtection="1">
      <alignment vertical="center"/>
      <protection hidden="1"/>
    </xf>
    <xf numFmtId="3" fontId="30" fillId="0" borderId="17" xfId="0" applyNumberFormat="1" applyFont="1" applyBorder="1" applyAlignment="1" applyProtection="1">
      <alignment vertical="center"/>
      <protection hidden="1"/>
    </xf>
    <xf numFmtId="0" fontId="35" fillId="0" borderId="32" xfId="0" applyFont="1" applyBorder="1" applyAlignment="1" applyProtection="1">
      <alignment vertical="center"/>
      <protection hidden="1"/>
    </xf>
    <xf numFmtId="0" fontId="35" fillId="0" borderId="0"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31" fillId="0" borderId="33" xfId="0" applyFont="1" applyBorder="1" applyAlignment="1" applyProtection="1">
      <alignment vertical="center"/>
      <protection hidden="1"/>
    </xf>
    <xf numFmtId="0" fontId="30" fillId="0" borderId="27"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0" fillId="0" borderId="17" xfId="0" applyFont="1" applyBorder="1" applyAlignment="1" applyProtection="1">
      <alignment vertical="center"/>
      <protection hidden="1"/>
    </xf>
    <xf numFmtId="0" fontId="33" fillId="0" borderId="32"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33" xfId="0" applyFont="1" applyBorder="1" applyAlignment="1" applyProtection="1">
      <alignment horizontal="center" vertical="center"/>
      <protection hidden="1"/>
    </xf>
    <xf numFmtId="0" fontId="16" fillId="0" borderId="98"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17" fontId="30" fillId="0" borderId="22" xfId="0" applyNumberFormat="1" applyFont="1" applyBorder="1" applyAlignment="1" applyProtection="1">
      <alignment horizontal="center" vertical="center"/>
      <protection hidden="1"/>
    </xf>
    <xf numFmtId="0" fontId="30" fillId="0" borderId="24" xfId="0" applyFont="1" applyBorder="1" applyAlignment="1" applyProtection="1">
      <alignment horizontal="center" vertical="center"/>
      <protection hidden="1"/>
    </xf>
    <xf numFmtId="0" fontId="30" fillId="0" borderId="27"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66" xfId="0" applyFont="1" applyBorder="1" applyAlignment="1" applyProtection="1">
      <alignment horizontal="center" vertical="center"/>
      <protection hidden="1"/>
    </xf>
    <xf numFmtId="0" fontId="30" fillId="0" borderId="15" xfId="0" applyFont="1" applyBorder="1" applyAlignment="1" applyProtection="1">
      <alignment horizontal="center" vertical="center"/>
      <protection hidden="1"/>
    </xf>
    <xf numFmtId="0" fontId="30" fillId="0" borderId="88" xfId="0" applyFont="1" applyBorder="1" applyAlignment="1" applyProtection="1">
      <alignment horizontal="center" vertical="center"/>
      <protection hidden="1"/>
    </xf>
    <xf numFmtId="0" fontId="30" fillId="0" borderId="17" xfId="0" applyFont="1" applyBorder="1" applyAlignment="1" applyProtection="1">
      <alignment horizontal="center" vertical="center"/>
      <protection hidden="1"/>
    </xf>
    <xf numFmtId="0" fontId="30" fillId="0" borderId="23" xfId="0" applyFont="1" applyBorder="1" applyAlignment="1" applyProtection="1">
      <alignment horizontal="center" vertical="center"/>
      <protection hidden="1"/>
    </xf>
    <xf numFmtId="0" fontId="30" fillId="0" borderId="33" xfId="0" applyFont="1" applyBorder="1" applyAlignment="1" applyProtection="1">
      <alignment horizontal="center" vertical="center"/>
      <protection hidden="1"/>
    </xf>
    <xf numFmtId="0" fontId="30" fillId="0" borderId="67"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62" fillId="0" borderId="97" xfId="0" applyFont="1" applyBorder="1" applyAlignment="1" applyProtection="1">
      <alignment horizontal="center" vertical="center" wrapText="1"/>
      <protection hidden="1"/>
    </xf>
    <xf numFmtId="0" fontId="37" fillId="0" borderId="74" xfId="0" applyFont="1" applyBorder="1" applyAlignment="1" applyProtection="1">
      <alignment horizontal="center" vertical="center" wrapText="1"/>
      <protection hidden="1"/>
    </xf>
    <xf numFmtId="0" fontId="37" fillId="0" borderId="49" xfId="0" applyFont="1" applyBorder="1" applyAlignment="1" applyProtection="1">
      <alignment horizontal="center" vertical="center" wrapText="1"/>
      <protection hidden="1"/>
    </xf>
    <xf numFmtId="0" fontId="16" fillId="0" borderId="32"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31" fillId="0" borderId="99" xfId="0" applyFont="1" applyBorder="1" applyAlignment="1" applyProtection="1">
      <alignment horizontal="center" vertical="center"/>
      <protection hidden="1"/>
    </xf>
    <xf numFmtId="0" fontId="31" fillId="0" borderId="89" xfId="0" applyFont="1" applyBorder="1" applyAlignment="1" applyProtection="1">
      <alignment horizontal="center" vertical="center"/>
      <protection hidden="1"/>
    </xf>
    <xf numFmtId="0" fontId="31" fillId="0" borderId="68" xfId="0" applyFont="1" applyBorder="1" applyAlignment="1" applyProtection="1">
      <alignment horizontal="center" vertical="center"/>
      <protection hidden="1"/>
    </xf>
    <xf numFmtId="0" fontId="31" fillId="0" borderId="69"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71" xfId="0" applyFont="1" applyBorder="1" applyAlignment="1" applyProtection="1">
      <alignment horizontal="center" vertical="center"/>
      <protection hidden="1"/>
    </xf>
    <xf numFmtId="169" fontId="27" fillId="0" borderId="32" xfId="0" applyNumberFormat="1" applyFont="1" applyBorder="1" applyAlignment="1" applyProtection="1">
      <alignment horizontal="center"/>
      <protection hidden="1"/>
    </xf>
    <xf numFmtId="169" fontId="27" fillId="0" borderId="0" xfId="0" applyNumberFormat="1" applyFont="1" applyBorder="1" applyAlignment="1" applyProtection="1">
      <alignment horizontal="center"/>
      <protection hidden="1"/>
    </xf>
    <xf numFmtId="0" fontId="27" fillId="0" borderId="33" xfId="0" applyFont="1" applyBorder="1" applyAlignment="1" applyProtection="1">
      <alignment horizontal="left"/>
      <protection hidden="1"/>
    </xf>
    <xf numFmtId="0" fontId="16" fillId="0" borderId="84" xfId="0" applyFont="1" applyBorder="1" applyAlignment="1" applyProtection="1">
      <alignment horizontal="center" vertical="center"/>
      <protection hidden="1"/>
    </xf>
    <xf numFmtId="0" fontId="16" fillId="0" borderId="67" xfId="0" applyFont="1" applyBorder="1" applyAlignment="1" applyProtection="1">
      <alignment horizontal="center" vertical="center"/>
      <protection hidden="1"/>
    </xf>
    <xf numFmtId="3" fontId="27" fillId="0" borderId="27" xfId="0" applyNumberFormat="1" applyFont="1" applyBorder="1" applyAlignment="1" applyProtection="1">
      <alignment horizontal="left" vertical="center"/>
      <protection hidden="1"/>
    </xf>
    <xf numFmtId="3" fontId="27" fillId="0" borderId="0" xfId="0" applyNumberFormat="1" applyFont="1" applyBorder="1" applyAlignment="1" applyProtection="1">
      <alignment horizontal="left" vertical="center"/>
      <protection hidden="1"/>
    </xf>
    <xf numFmtId="3" fontId="27" fillId="0" borderId="17" xfId="0" applyNumberFormat="1" applyFont="1" applyBorder="1" applyAlignment="1" applyProtection="1">
      <alignment horizontal="left" vertical="center"/>
      <protection hidden="1"/>
    </xf>
    <xf numFmtId="0" fontId="16" fillId="0" borderId="32"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5" xfId="0" applyFont="1" applyBorder="1" applyAlignment="1" applyProtection="1">
      <alignment horizontal="center"/>
      <protection hidden="1"/>
    </xf>
    <xf numFmtId="0" fontId="27" fillId="0" borderId="18" xfId="0" applyFont="1" applyBorder="1" applyAlignment="1" applyProtection="1">
      <alignment horizontal="center" vertical="center"/>
      <protection hidden="1"/>
    </xf>
    <xf numFmtId="0" fontId="27" fillId="0" borderId="13" xfId="0" applyFont="1" applyBorder="1" applyAlignment="1" applyProtection="1">
      <alignment horizontal="center" vertical="center"/>
      <protection hidden="1"/>
    </xf>
    <xf numFmtId="0" fontId="27" fillId="0" borderId="100" xfId="0" applyFont="1" applyBorder="1" applyAlignment="1" applyProtection="1">
      <alignment horizontal="center" vertical="center"/>
      <protection hidden="1"/>
    </xf>
    <xf numFmtId="0" fontId="31" fillId="0" borderId="96" xfId="0" applyFont="1" applyBorder="1" applyAlignment="1" applyProtection="1">
      <alignment horizontal="center"/>
      <protection hidden="1"/>
    </xf>
    <xf numFmtId="0" fontId="31" fillId="0" borderId="24" xfId="0" applyFont="1" applyBorder="1" applyAlignment="1" applyProtection="1">
      <alignment horizontal="center"/>
      <protection hidden="1"/>
    </xf>
    <xf numFmtId="0" fontId="31" fillId="0" borderId="71" xfId="0" applyFont="1" applyBorder="1" applyAlignment="1" applyProtection="1">
      <alignment horizontal="center"/>
      <protection hidden="1"/>
    </xf>
    <xf numFmtId="0" fontId="16" fillId="0" borderId="65"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0" fontId="16" fillId="0" borderId="67" xfId="0" applyFont="1" applyBorder="1" applyAlignment="1" applyProtection="1">
      <alignment horizontal="center" vertical="center" wrapText="1"/>
      <protection hidden="1"/>
    </xf>
    <xf numFmtId="169" fontId="27" fillId="0" borderId="17" xfId="0" applyNumberFormat="1" applyFont="1" applyBorder="1" applyAlignment="1" applyProtection="1">
      <alignment horizontal="center"/>
      <protection hidden="1"/>
    </xf>
    <xf numFmtId="0" fontId="16" fillId="0" borderId="27"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27" fillId="0" borderId="101" xfId="0" applyFont="1" applyBorder="1" applyAlignment="1" applyProtection="1">
      <alignment horizontal="center" vertical="center"/>
      <protection hidden="1"/>
    </xf>
    <xf numFmtId="0" fontId="27" fillId="0" borderId="14" xfId="0" applyFont="1" applyBorder="1" applyAlignment="1" applyProtection="1">
      <alignment horizontal="center" vertical="center"/>
      <protection hidden="1"/>
    </xf>
    <xf numFmtId="0" fontId="28" fillId="0" borderId="18" xfId="0" applyFont="1" applyBorder="1" applyAlignment="1" applyProtection="1">
      <alignment horizontal="center" vertical="center"/>
      <protection hidden="1"/>
    </xf>
    <xf numFmtId="0" fontId="28" fillId="0" borderId="13" xfId="0" applyFont="1" applyBorder="1" applyAlignment="1" applyProtection="1">
      <alignment horizontal="center" vertical="center"/>
      <protection hidden="1"/>
    </xf>
    <xf numFmtId="0" fontId="28" fillId="0" borderId="14" xfId="0" applyFont="1" applyBorder="1" applyAlignment="1" applyProtection="1">
      <alignment horizontal="center" vertical="center"/>
      <protection hidden="1"/>
    </xf>
    <xf numFmtId="0" fontId="31" fillId="0" borderId="27" xfId="0" applyFont="1" applyBorder="1" applyAlignment="1" applyProtection="1">
      <alignment horizontal="left" indent="2"/>
      <protection hidden="1"/>
    </xf>
    <xf numFmtId="0" fontId="31" fillId="0" borderId="0" xfId="0" applyFont="1" applyAlignment="1" applyProtection="1">
      <alignment horizontal="left" indent="2"/>
      <protection hidden="1"/>
    </xf>
    <xf numFmtId="0" fontId="30" fillId="0" borderId="74" xfId="0" applyFont="1" applyBorder="1" applyAlignment="1" applyProtection="1">
      <alignment horizontal="left"/>
      <protection hidden="1"/>
    </xf>
    <xf numFmtId="0" fontId="30" fillId="0" borderId="0" xfId="0" applyFont="1" applyBorder="1" applyAlignment="1" applyProtection="1">
      <alignment horizontal="left" vertical="top"/>
      <protection hidden="1"/>
    </xf>
    <xf numFmtId="0" fontId="16" fillId="0" borderId="0" xfId="0" applyFont="1" applyBorder="1" applyAlignment="1" applyProtection="1">
      <alignment horizontal="center" vertical="top"/>
      <protection hidden="1"/>
    </xf>
    <xf numFmtId="0" fontId="31" fillId="0" borderId="27" xfId="0" applyFont="1" applyBorder="1" applyAlignment="1" applyProtection="1">
      <alignment horizontal="center"/>
      <protection hidden="1"/>
    </xf>
    <xf numFmtId="0" fontId="31" fillId="0" borderId="17" xfId="0" applyFont="1" applyBorder="1" applyAlignment="1" applyProtection="1">
      <alignment horizontal="center"/>
      <protection hidden="1"/>
    </xf>
    <xf numFmtId="0" fontId="31" fillId="0" borderId="33" xfId="0" applyFont="1" applyBorder="1" applyAlignment="1" applyProtection="1">
      <alignment horizontal="center"/>
      <protection hidden="1"/>
    </xf>
    <xf numFmtId="0" fontId="30" fillId="0" borderId="0" xfId="0" applyFont="1" applyBorder="1" applyAlignment="1" applyProtection="1">
      <alignment horizontal="left" vertical="center"/>
      <protection hidden="1"/>
    </xf>
    <xf numFmtId="0" fontId="30" fillId="0" borderId="32" xfId="0" applyFont="1" applyBorder="1" applyAlignment="1" applyProtection="1">
      <alignment horizontal="center" shrinkToFit="1"/>
      <protection hidden="1"/>
    </xf>
    <xf numFmtId="0" fontId="30" fillId="0" borderId="0" xfId="0" applyFont="1" applyBorder="1" applyAlignment="1" applyProtection="1">
      <alignment horizontal="center" shrinkToFit="1"/>
      <protection hidden="1"/>
    </xf>
    <xf numFmtId="0" fontId="30" fillId="0" borderId="33" xfId="0" applyFont="1" applyBorder="1" applyAlignment="1" applyProtection="1">
      <alignment horizontal="center" shrinkToFit="1"/>
      <protection hidden="1"/>
    </xf>
    <xf numFmtId="0" fontId="31" fillId="0" borderId="22" xfId="0" applyFont="1" applyBorder="1" applyAlignment="1" applyProtection="1">
      <alignment horizontal="center"/>
      <protection hidden="1"/>
    </xf>
    <xf numFmtId="0" fontId="31" fillId="0" borderId="88" xfId="0" applyFont="1" applyBorder="1" applyAlignment="1" applyProtection="1">
      <alignment horizontal="center"/>
      <protection hidden="1"/>
    </xf>
    <xf numFmtId="0" fontId="31" fillId="0" borderId="66" xfId="0" applyFont="1" applyBorder="1" applyAlignment="1" applyProtection="1">
      <alignment horizontal="center"/>
      <protection hidden="1"/>
    </xf>
    <xf numFmtId="0" fontId="31" fillId="0" borderId="15" xfId="0" applyFont="1" applyBorder="1" applyAlignment="1" applyProtection="1">
      <alignment horizontal="center"/>
      <protection hidden="1"/>
    </xf>
    <xf numFmtId="0" fontId="31" fillId="0" borderId="23" xfId="0" applyFont="1" applyBorder="1" applyAlignment="1" applyProtection="1">
      <alignment horizontal="center"/>
      <protection hidden="1"/>
    </xf>
    <xf numFmtId="0" fontId="31" fillId="0" borderId="67" xfId="0" applyFont="1" applyBorder="1" applyAlignment="1" applyProtection="1">
      <alignment horizontal="center"/>
      <protection hidden="1"/>
    </xf>
    <xf numFmtId="0" fontId="31" fillId="0" borderId="26" xfId="0" applyFont="1" applyBorder="1" applyAlignment="1" applyProtection="1">
      <alignment horizontal="center"/>
      <protection hidden="1"/>
    </xf>
    <xf numFmtId="0" fontId="31" fillId="0" borderId="10" xfId="0" applyFont="1" applyBorder="1" applyAlignment="1" applyProtection="1">
      <alignment horizontal="center"/>
      <protection hidden="1"/>
    </xf>
    <xf numFmtId="0" fontId="31" fillId="0" borderId="21" xfId="0" applyFont="1" applyBorder="1" applyAlignment="1" applyProtection="1">
      <alignment horizontal="center"/>
      <protection hidden="1"/>
    </xf>
    <xf numFmtId="0" fontId="31" fillId="0" borderId="82" xfId="0" applyFont="1" applyBorder="1" applyAlignment="1" applyProtection="1">
      <alignment horizontal="center"/>
      <protection hidden="1"/>
    </xf>
    <xf numFmtId="0" fontId="40" fillId="0" borderId="0" xfId="0" applyFont="1" applyBorder="1" applyAlignment="1" applyProtection="1">
      <alignment horizontal="center" vertical="center"/>
      <protection hidden="1"/>
    </xf>
    <xf numFmtId="0" fontId="27" fillId="0" borderId="32" xfId="0" applyFont="1" applyBorder="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27" fillId="0" borderId="33" xfId="0" applyFont="1" applyBorder="1" applyAlignment="1" applyProtection="1">
      <alignment horizontal="left" vertical="center" wrapText="1"/>
      <protection hidden="1"/>
    </xf>
    <xf numFmtId="0" fontId="16" fillId="0" borderId="32" xfId="0" applyFont="1" applyBorder="1" applyAlignment="1" applyProtection="1">
      <alignment horizontal="left"/>
      <protection hidden="1"/>
    </xf>
    <xf numFmtId="180" fontId="16" fillId="0" borderId="0" xfId="0" applyNumberFormat="1" applyFont="1" applyBorder="1" applyAlignment="1" applyProtection="1">
      <alignment horizontal="left"/>
      <protection hidden="1"/>
    </xf>
    <xf numFmtId="0" fontId="31" fillId="0" borderId="0" xfId="0" applyFont="1" applyBorder="1" applyAlignment="1" applyProtection="1">
      <alignment horizontal="left" indent="2"/>
      <protection hidden="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23</xdr:row>
      <xdr:rowOff>38100</xdr:rowOff>
    </xdr:from>
    <xdr:to>
      <xdr:col>7</xdr:col>
      <xdr:colOff>533400</xdr:colOff>
      <xdr:row>26</xdr:row>
      <xdr:rowOff>295275</xdr:rowOff>
    </xdr:to>
    <xdr:pic>
      <xdr:nvPicPr>
        <xdr:cNvPr id="1" name="Picture 2" descr="Putta.JPG"/>
        <xdr:cNvPicPr preferRelativeResize="1">
          <a:picLocks noChangeAspect="1"/>
        </xdr:cNvPicPr>
      </xdr:nvPicPr>
      <xdr:blipFill>
        <a:blip r:embed="rId1"/>
        <a:stretch>
          <a:fillRect/>
        </a:stretch>
      </xdr:blipFill>
      <xdr:spPr>
        <a:xfrm>
          <a:off x="3533775" y="7524750"/>
          <a:ext cx="981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31</xdr:row>
      <xdr:rowOff>9525</xdr:rowOff>
    </xdr:from>
    <xdr:to>
      <xdr:col>43</xdr:col>
      <xdr:colOff>0</xdr:colOff>
      <xdr:row>31</xdr:row>
      <xdr:rowOff>38100</xdr:rowOff>
    </xdr:to>
    <xdr:sp>
      <xdr:nvSpPr>
        <xdr:cNvPr id="1" name="Oval 28"/>
        <xdr:cNvSpPr>
          <a:spLocks/>
        </xdr:cNvSpPr>
      </xdr:nvSpPr>
      <xdr:spPr>
        <a:xfrm flipV="1">
          <a:off x="6105525" y="5695950"/>
          <a:ext cx="0" cy="28575"/>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eodmk\AppData\Local\Microsoft\Windows\Temporary%20Internet%20Files\Low\Content.IE5\RAM4XOVF\T.Raje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paration sheet"/>
      <sheetName val="Annexure-I"/>
      <sheetName val="Annexure-I (Back)"/>
      <sheetName val="Form-16"/>
      <sheetName val="Form-16 (Back)"/>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66"/>
  <sheetViews>
    <sheetView showGridLines="0" showRowColHeaders="0" tabSelected="1" zoomScalePageLayoutView="0" workbookViewId="0" topLeftCell="C1">
      <selection activeCell="C2" sqref="C2"/>
    </sheetView>
  </sheetViews>
  <sheetFormatPr defaultColWidth="9.140625" defaultRowHeight="15" customHeight="1"/>
  <cols>
    <col min="1" max="1" width="3.00390625" style="19" customWidth="1"/>
    <col min="2" max="2" width="12.57421875" style="35" customWidth="1"/>
    <col min="3" max="3" width="64.8515625" style="19" customWidth="1"/>
    <col min="4" max="4" width="52.8515625" style="19" customWidth="1"/>
    <col min="5" max="5" width="1.1484375" style="19" customWidth="1"/>
    <col min="6" max="6" width="40.421875" style="19" customWidth="1"/>
    <col min="7" max="7" width="16.421875" style="19" customWidth="1"/>
    <col min="8" max="8" width="14.140625" style="19" customWidth="1"/>
    <col min="9" max="16384" width="9.140625" style="19" customWidth="1"/>
  </cols>
  <sheetData>
    <row r="1" spans="2:4" ht="29.25" customHeight="1">
      <c r="B1" s="31" t="s">
        <v>95</v>
      </c>
      <c r="C1" s="18" t="s">
        <v>96</v>
      </c>
      <c r="D1" s="18" t="s">
        <v>97</v>
      </c>
    </row>
    <row r="2" spans="2:8" ht="38.25">
      <c r="B2" s="44" t="s">
        <v>56</v>
      </c>
      <c r="C2" s="20" t="s">
        <v>57</v>
      </c>
      <c r="D2" s="20" t="s">
        <v>58</v>
      </c>
      <c r="F2" s="57" t="s">
        <v>210</v>
      </c>
      <c r="G2" s="58" t="s">
        <v>211</v>
      </c>
      <c r="H2" s="59" t="s">
        <v>95</v>
      </c>
    </row>
    <row r="3" spans="2:8" ht="102">
      <c r="B3" s="32" t="s">
        <v>59</v>
      </c>
      <c r="C3" s="45" t="s">
        <v>60</v>
      </c>
      <c r="D3" s="21" t="s">
        <v>61</v>
      </c>
      <c r="F3" s="54" t="s">
        <v>212</v>
      </c>
      <c r="G3" s="55">
        <v>100000</v>
      </c>
      <c r="H3" s="60" t="s">
        <v>213</v>
      </c>
    </row>
    <row r="4" spans="2:8" ht="51">
      <c r="B4" s="466" t="s">
        <v>62</v>
      </c>
      <c r="C4" s="20" t="s">
        <v>63</v>
      </c>
      <c r="D4" s="20" t="s">
        <v>64</v>
      </c>
      <c r="F4" s="54" t="s">
        <v>214</v>
      </c>
      <c r="G4" s="55">
        <v>100000</v>
      </c>
      <c r="H4" s="60" t="s">
        <v>213</v>
      </c>
    </row>
    <row r="5" spans="2:8" ht="38.25">
      <c r="B5" s="466"/>
      <c r="C5" s="20" t="s">
        <v>65</v>
      </c>
      <c r="D5" s="45" t="s">
        <v>66</v>
      </c>
      <c r="F5" s="54" t="s">
        <v>215</v>
      </c>
      <c r="G5" s="55">
        <v>100000</v>
      </c>
      <c r="H5" s="60" t="s">
        <v>213</v>
      </c>
    </row>
    <row r="6" spans="2:8" ht="76.5">
      <c r="B6" s="32" t="s">
        <v>67</v>
      </c>
      <c r="C6" s="22" t="s">
        <v>68</v>
      </c>
      <c r="D6" s="23" t="s">
        <v>534</v>
      </c>
      <c r="F6" s="54" t="s">
        <v>216</v>
      </c>
      <c r="G6" s="55">
        <v>100000</v>
      </c>
      <c r="H6" s="60" t="s">
        <v>213</v>
      </c>
    </row>
    <row r="7" spans="2:8" ht="63.75">
      <c r="B7" s="32" t="s">
        <v>69</v>
      </c>
      <c r="C7" s="20" t="s">
        <v>98</v>
      </c>
      <c r="D7" s="24" t="s">
        <v>70</v>
      </c>
      <c r="F7" s="54" t="s">
        <v>217</v>
      </c>
      <c r="G7" s="55">
        <v>100000</v>
      </c>
      <c r="H7" s="60" t="s">
        <v>213</v>
      </c>
    </row>
    <row r="8" spans="2:8" ht="44.25" customHeight="1">
      <c r="B8" s="44" t="s">
        <v>71</v>
      </c>
      <c r="C8" s="46" t="s">
        <v>72</v>
      </c>
      <c r="D8" s="45" t="s">
        <v>73</v>
      </c>
      <c r="F8" s="54" t="s">
        <v>218</v>
      </c>
      <c r="G8" s="56">
        <v>100000</v>
      </c>
      <c r="H8" s="60" t="s">
        <v>213</v>
      </c>
    </row>
    <row r="9" spans="2:8" ht="24" customHeight="1">
      <c r="B9" s="466" t="s">
        <v>74</v>
      </c>
      <c r="C9" s="25" t="s">
        <v>75</v>
      </c>
      <c r="D9" s="470" t="s">
        <v>137</v>
      </c>
      <c r="F9" s="54" t="s">
        <v>219</v>
      </c>
      <c r="G9" s="56">
        <v>100000</v>
      </c>
      <c r="H9" s="60" t="s">
        <v>213</v>
      </c>
    </row>
    <row r="10" spans="2:8" ht="24" customHeight="1">
      <c r="B10" s="466"/>
      <c r="C10" s="26" t="s">
        <v>76</v>
      </c>
      <c r="D10" s="471"/>
      <c r="F10" s="54" t="s">
        <v>220</v>
      </c>
      <c r="G10" s="56">
        <v>100000</v>
      </c>
      <c r="H10" s="60" t="s">
        <v>213</v>
      </c>
    </row>
    <row r="11" spans="2:8" ht="25.5">
      <c r="B11" s="466"/>
      <c r="C11" s="26" t="s">
        <v>77</v>
      </c>
      <c r="D11" s="46" t="s">
        <v>99</v>
      </c>
      <c r="F11" s="54" t="s">
        <v>221</v>
      </c>
      <c r="G11" s="56">
        <v>100000</v>
      </c>
      <c r="H11" s="60" t="s">
        <v>213</v>
      </c>
    </row>
    <row r="12" spans="2:8" ht="28.5" customHeight="1">
      <c r="B12" s="466"/>
      <c r="C12" s="26" t="s">
        <v>78</v>
      </c>
      <c r="D12" s="46" t="s">
        <v>100</v>
      </c>
      <c r="F12" s="54" t="s">
        <v>222</v>
      </c>
      <c r="G12" s="56">
        <v>100000</v>
      </c>
      <c r="H12" s="60" t="s">
        <v>213</v>
      </c>
    </row>
    <row r="13" spans="2:8" ht="15">
      <c r="B13" s="33" t="s">
        <v>79</v>
      </c>
      <c r="C13" s="45" t="s">
        <v>80</v>
      </c>
      <c r="D13" s="468" t="s">
        <v>81</v>
      </c>
      <c r="F13" s="54" t="s">
        <v>223</v>
      </c>
      <c r="G13" s="55">
        <v>20000</v>
      </c>
      <c r="H13" s="60" t="s">
        <v>224</v>
      </c>
    </row>
    <row r="14" spans="2:8" ht="15">
      <c r="B14" s="34"/>
      <c r="C14" s="46" t="s">
        <v>82</v>
      </c>
      <c r="D14" s="469"/>
      <c r="F14" s="54" t="s">
        <v>225</v>
      </c>
      <c r="G14" s="55">
        <v>10000</v>
      </c>
      <c r="H14" s="60" t="s">
        <v>56</v>
      </c>
    </row>
    <row r="15" spans="2:4" ht="15">
      <c r="B15" s="34"/>
      <c r="C15" s="46" t="s">
        <v>83</v>
      </c>
      <c r="D15" s="469"/>
    </row>
    <row r="16" spans="2:4" ht="38.25">
      <c r="B16" s="34"/>
      <c r="C16" s="46" t="s">
        <v>101</v>
      </c>
      <c r="D16" s="469"/>
    </row>
    <row r="17" spans="2:4" ht="15">
      <c r="B17" s="34"/>
      <c r="C17" s="46" t="s">
        <v>84</v>
      </c>
      <c r="D17" s="469"/>
    </row>
    <row r="18" spans="2:4" ht="25.5">
      <c r="B18" s="34"/>
      <c r="C18" s="46" t="s">
        <v>102</v>
      </c>
      <c r="D18" s="469"/>
    </row>
    <row r="19" spans="2:4" ht="25.5">
      <c r="B19" s="34"/>
      <c r="C19" s="46" t="s">
        <v>103</v>
      </c>
      <c r="D19" s="469"/>
    </row>
    <row r="20" spans="2:4" ht="25.5">
      <c r="B20" s="34"/>
      <c r="C20" s="46" t="s">
        <v>104</v>
      </c>
      <c r="D20" s="469"/>
    </row>
    <row r="21" spans="2:4" ht="25.5">
      <c r="B21" s="34"/>
      <c r="C21" s="46" t="s">
        <v>85</v>
      </c>
      <c r="D21" s="469"/>
    </row>
    <row r="22" spans="2:4" ht="25.5">
      <c r="B22" s="34"/>
      <c r="C22" s="46" t="s">
        <v>86</v>
      </c>
      <c r="D22" s="469"/>
    </row>
    <row r="23" spans="2:4" ht="38.25">
      <c r="B23" s="34"/>
      <c r="C23" s="46" t="s">
        <v>87</v>
      </c>
      <c r="D23" s="469"/>
    </row>
    <row r="24" spans="2:4" ht="15">
      <c r="B24" s="34"/>
      <c r="C24" s="46" t="s">
        <v>88</v>
      </c>
      <c r="D24" s="469"/>
    </row>
    <row r="25" spans="2:4" ht="25.5">
      <c r="B25" s="34"/>
      <c r="C25" s="46" t="s">
        <v>89</v>
      </c>
      <c r="D25" s="469"/>
    </row>
    <row r="26" spans="2:4" ht="15">
      <c r="B26" s="34"/>
      <c r="C26" s="46" t="s">
        <v>90</v>
      </c>
      <c r="D26" s="469"/>
    </row>
    <row r="27" spans="2:4" ht="25.5">
      <c r="B27" s="34"/>
      <c r="C27" s="46" t="s">
        <v>91</v>
      </c>
      <c r="D27" s="469"/>
    </row>
    <row r="28" spans="2:4" ht="25.5">
      <c r="B28" s="44" t="s">
        <v>92</v>
      </c>
      <c r="C28" s="27" t="s">
        <v>93</v>
      </c>
      <c r="D28" s="20" t="s">
        <v>94</v>
      </c>
    </row>
    <row r="32" spans="2:18" ht="15" customHeight="1">
      <c r="B32" s="472" t="s">
        <v>105</v>
      </c>
      <c r="C32" s="472"/>
      <c r="D32" s="472"/>
      <c r="E32" s="28"/>
      <c r="F32" s="28"/>
      <c r="G32" s="28"/>
      <c r="H32" s="28"/>
      <c r="I32" s="28"/>
      <c r="J32" s="28"/>
      <c r="K32" s="28"/>
      <c r="L32" s="28"/>
      <c r="M32" s="28"/>
      <c r="N32" s="28"/>
      <c r="O32" s="28"/>
      <c r="P32" s="28"/>
      <c r="Q32" s="28"/>
      <c r="R32" s="28"/>
    </row>
    <row r="33" spans="2:18" ht="15" customHeight="1">
      <c r="B33" s="472"/>
      <c r="C33" s="472"/>
      <c r="D33" s="472"/>
      <c r="E33" s="28"/>
      <c r="F33" s="28"/>
      <c r="G33" s="28"/>
      <c r="H33" s="28"/>
      <c r="I33" s="28"/>
      <c r="J33" s="28"/>
      <c r="K33" s="28"/>
      <c r="L33" s="28"/>
      <c r="M33" s="28"/>
      <c r="N33" s="28"/>
      <c r="O33" s="28"/>
      <c r="P33" s="28"/>
      <c r="Q33" s="28"/>
      <c r="R33" s="28"/>
    </row>
    <row r="34" spans="2:4" ht="15">
      <c r="B34" s="36"/>
      <c r="C34" s="36"/>
      <c r="D34" s="36"/>
    </row>
    <row r="35" spans="2:5" ht="33" customHeight="1">
      <c r="B35" s="467" t="s">
        <v>138</v>
      </c>
      <c r="C35" s="467"/>
      <c r="D35" s="467"/>
      <c r="E35" s="29"/>
    </row>
    <row r="36" spans="2:4" ht="15">
      <c r="B36" s="37" t="s">
        <v>106</v>
      </c>
      <c r="C36" s="36"/>
      <c r="D36" s="36"/>
    </row>
    <row r="37" spans="2:4" ht="15">
      <c r="B37" s="36" t="s">
        <v>107</v>
      </c>
      <c r="C37" s="36"/>
      <c r="D37" s="36"/>
    </row>
    <row r="38" spans="2:4" ht="15">
      <c r="B38" s="36" t="s">
        <v>108</v>
      </c>
      <c r="C38" s="36"/>
      <c r="D38" s="36"/>
    </row>
    <row r="39" spans="2:4" ht="15">
      <c r="B39" s="36" t="s">
        <v>109</v>
      </c>
      <c r="C39" s="36"/>
      <c r="D39" s="36"/>
    </row>
    <row r="40" spans="2:4" ht="15">
      <c r="B40" s="36" t="s">
        <v>110</v>
      </c>
      <c r="C40" s="36"/>
      <c r="D40" s="36"/>
    </row>
    <row r="41" spans="2:4" ht="15">
      <c r="B41" s="36" t="s">
        <v>111</v>
      </c>
      <c r="C41" s="36"/>
      <c r="D41" s="36"/>
    </row>
    <row r="42" spans="2:4" ht="15">
      <c r="B42" s="36" t="s">
        <v>112</v>
      </c>
      <c r="C42" s="36"/>
      <c r="D42" s="36"/>
    </row>
    <row r="43" spans="2:4" ht="15">
      <c r="B43" s="36" t="s">
        <v>113</v>
      </c>
      <c r="C43" s="36"/>
      <c r="D43" s="36"/>
    </row>
    <row r="44" spans="2:4" ht="15">
      <c r="B44" s="36" t="s">
        <v>114</v>
      </c>
      <c r="C44" s="36"/>
      <c r="D44" s="36"/>
    </row>
    <row r="45" spans="2:5" ht="47.25" customHeight="1">
      <c r="B45" s="465" t="s">
        <v>115</v>
      </c>
      <c r="C45" s="465"/>
      <c r="D45" s="465"/>
      <c r="E45" s="30"/>
    </row>
    <row r="46" spans="2:4" ht="32.25" customHeight="1">
      <c r="B46" s="465" t="s">
        <v>116</v>
      </c>
      <c r="C46" s="465"/>
      <c r="D46" s="465"/>
    </row>
    <row r="47" spans="2:14" ht="35.25" customHeight="1">
      <c r="B47" s="465" t="s">
        <v>117</v>
      </c>
      <c r="C47" s="465"/>
      <c r="D47" s="465"/>
      <c r="E47" s="30"/>
      <c r="F47" s="30"/>
      <c r="G47" s="30"/>
      <c r="H47" s="30"/>
      <c r="I47" s="30"/>
      <c r="J47" s="30"/>
      <c r="K47" s="30"/>
      <c r="L47" s="30"/>
      <c r="M47" s="30"/>
      <c r="N47" s="30"/>
    </row>
    <row r="48" spans="2:4" ht="15">
      <c r="B48" s="36" t="s">
        <v>118</v>
      </c>
      <c r="C48" s="36"/>
      <c r="D48" s="36"/>
    </row>
    <row r="49" spans="2:4" ht="15">
      <c r="B49" s="36" t="s">
        <v>119</v>
      </c>
      <c r="C49" s="36"/>
      <c r="D49" s="36"/>
    </row>
    <row r="50" spans="2:4" ht="15">
      <c r="B50" s="36" t="s">
        <v>120</v>
      </c>
      <c r="C50" s="36"/>
      <c r="D50" s="36"/>
    </row>
    <row r="51" spans="2:4" ht="15">
      <c r="B51" s="36" t="s">
        <v>121</v>
      </c>
      <c r="C51" s="36"/>
      <c r="D51" s="36"/>
    </row>
    <row r="52" spans="2:4" ht="15">
      <c r="B52" s="36" t="s">
        <v>122</v>
      </c>
      <c r="C52" s="36"/>
      <c r="D52" s="36"/>
    </row>
    <row r="53" spans="2:4" ht="15">
      <c r="B53" s="36" t="s">
        <v>123</v>
      </c>
      <c r="C53" s="36"/>
      <c r="D53" s="36"/>
    </row>
    <row r="54" spans="2:4" ht="15">
      <c r="B54" s="36" t="s">
        <v>135</v>
      </c>
      <c r="C54" s="36"/>
      <c r="D54" s="36"/>
    </row>
    <row r="55" spans="2:4" ht="15">
      <c r="B55" s="36" t="s">
        <v>134</v>
      </c>
      <c r="C55" s="36"/>
      <c r="D55" s="36"/>
    </row>
    <row r="56" spans="2:4" ht="32.25" customHeight="1">
      <c r="B56" s="465" t="s">
        <v>124</v>
      </c>
      <c r="C56" s="465"/>
      <c r="D56" s="465"/>
    </row>
    <row r="57" spans="2:4" ht="15">
      <c r="B57" s="36" t="s">
        <v>125</v>
      </c>
      <c r="C57" s="36"/>
      <c r="D57" s="36"/>
    </row>
    <row r="58" spans="2:4" ht="15">
      <c r="B58" s="36" t="s">
        <v>126</v>
      </c>
      <c r="C58" s="36"/>
      <c r="D58" s="36"/>
    </row>
    <row r="59" spans="2:4" ht="15">
      <c r="B59" s="36" t="s">
        <v>127</v>
      </c>
      <c r="C59" s="36"/>
      <c r="D59" s="36"/>
    </row>
    <row r="60" spans="2:4" ht="30" customHeight="1">
      <c r="B60" s="465" t="s">
        <v>128</v>
      </c>
      <c r="C60" s="465"/>
      <c r="D60" s="465"/>
    </row>
    <row r="61" spans="2:4" ht="34.5" customHeight="1">
      <c r="B61" s="465" t="s">
        <v>129</v>
      </c>
      <c r="C61" s="465"/>
      <c r="D61" s="465"/>
    </row>
    <row r="62" spans="2:4" ht="15">
      <c r="B62" s="36" t="s">
        <v>130</v>
      </c>
      <c r="C62" s="36"/>
      <c r="D62" s="36"/>
    </row>
    <row r="63" spans="2:18" ht="46.5" customHeight="1">
      <c r="B63" s="465" t="s">
        <v>131</v>
      </c>
      <c r="C63" s="465"/>
      <c r="D63" s="465"/>
      <c r="E63" s="30"/>
      <c r="F63" s="30"/>
      <c r="G63" s="30"/>
      <c r="H63" s="30"/>
      <c r="I63" s="30"/>
      <c r="J63" s="30"/>
      <c r="K63" s="30"/>
      <c r="L63" s="30"/>
      <c r="M63" s="30"/>
      <c r="N63" s="30"/>
      <c r="O63" s="30"/>
      <c r="P63" s="30"/>
      <c r="Q63" s="30"/>
      <c r="R63" s="30"/>
    </row>
    <row r="64" spans="2:4" ht="36" customHeight="1">
      <c r="B64" s="465" t="s">
        <v>136</v>
      </c>
      <c r="C64" s="465"/>
      <c r="D64" s="465"/>
    </row>
    <row r="65" spans="2:4" ht="33.75" customHeight="1">
      <c r="B65" s="465" t="s">
        <v>132</v>
      </c>
      <c r="C65" s="465"/>
      <c r="D65" s="465"/>
    </row>
    <row r="66" spans="2:4" ht="34.5" customHeight="1">
      <c r="B66" s="465" t="s">
        <v>133</v>
      </c>
      <c r="C66" s="465"/>
      <c r="D66" s="465"/>
    </row>
  </sheetData>
  <sheetProtection password="D7F0" sheet="1" objects="1" scenarios="1"/>
  <mergeCells count="16">
    <mergeCell ref="B63:D63"/>
    <mergeCell ref="B64:D64"/>
    <mergeCell ref="B9:B12"/>
    <mergeCell ref="D13:D27"/>
    <mergeCell ref="D9:D10"/>
    <mergeCell ref="B32:D33"/>
    <mergeCell ref="B65:D65"/>
    <mergeCell ref="B66:D66"/>
    <mergeCell ref="B4:B5"/>
    <mergeCell ref="B46:D46"/>
    <mergeCell ref="B47:D47"/>
    <mergeCell ref="B56:D56"/>
    <mergeCell ref="B60:D60"/>
    <mergeCell ref="B61:D61"/>
    <mergeCell ref="B35:D35"/>
    <mergeCell ref="B45:D4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L171"/>
  <sheetViews>
    <sheetView showGridLines="0" zoomScalePageLayoutView="0" workbookViewId="0" topLeftCell="A7">
      <selection activeCell="E18" sqref="E18:F18"/>
    </sheetView>
  </sheetViews>
  <sheetFormatPr defaultColWidth="9.00390625" defaultRowHeight="26.25" customHeight="1"/>
  <cols>
    <col min="1" max="1" width="2.421875" style="41" customWidth="1"/>
    <col min="2" max="2" width="19.7109375" style="1" customWidth="1"/>
    <col min="3" max="4" width="8.00390625" style="2" customWidth="1"/>
    <col min="5" max="5" width="7.421875" style="2" customWidth="1"/>
    <col min="6" max="6" width="6.7109375" style="1" customWidth="1"/>
    <col min="7" max="7" width="7.421875" style="1" customWidth="1"/>
    <col min="8" max="8" width="9.00390625" style="1" customWidth="1"/>
    <col min="9" max="9" width="9.57421875" style="1" customWidth="1"/>
    <col min="10" max="11" width="7.57421875" style="1" customWidth="1"/>
    <col min="12" max="12" width="9.140625" style="1" customWidth="1"/>
    <col min="13" max="13" width="7.8515625" style="1" customWidth="1"/>
    <col min="14" max="15" width="8.57421875" style="1" customWidth="1"/>
    <col min="16" max="16" width="9.00390625" style="1" customWidth="1"/>
    <col min="17" max="23" width="8.57421875" style="153" hidden="1" customWidth="1"/>
    <col min="24" max="26" width="7.00390625" style="153" hidden="1" customWidth="1"/>
    <col min="27" max="29" width="15.57421875" style="153" hidden="1" customWidth="1"/>
    <col min="30" max="30" width="13.28125" style="153" hidden="1" customWidth="1"/>
    <col min="31" max="31" width="12.421875" style="153" hidden="1" customWidth="1"/>
    <col min="32" max="37" width="10.421875" style="153" hidden="1" customWidth="1"/>
    <col min="38" max="39" width="12.421875" style="153" hidden="1" customWidth="1"/>
    <col min="40" max="40" width="9.421875" style="153" hidden="1" customWidth="1"/>
    <col min="41" max="41" width="11.28125" style="153" hidden="1" customWidth="1"/>
    <col min="42" max="43" width="9.421875" style="153" hidden="1" customWidth="1"/>
    <col min="44" max="94" width="12.421875" style="153" hidden="1" customWidth="1"/>
    <col min="95" max="118" width="12.421875" style="153" customWidth="1"/>
    <col min="119" max="194" width="9.00390625" style="153" customWidth="1"/>
    <col min="195" max="16384" width="9.00390625" style="1" customWidth="1"/>
  </cols>
  <sheetData>
    <row r="1" spans="3:194" s="41" customFormat="1" ht="12" customHeight="1">
      <c r="C1" s="43"/>
      <c r="D1" s="43"/>
      <c r="E1" s="43"/>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row>
    <row r="2" spans="2:46" ht="26.25" customHeight="1">
      <c r="B2" s="512" t="s">
        <v>588</v>
      </c>
      <c r="C2" s="513"/>
      <c r="D2" s="514"/>
      <c r="E2" s="514"/>
      <c r="F2" s="514"/>
      <c r="G2" s="514"/>
      <c r="H2" s="514"/>
      <c r="I2" s="514"/>
      <c r="J2" s="514"/>
      <c r="K2" s="514"/>
      <c r="L2" s="514"/>
      <c r="M2" s="514"/>
      <c r="N2" s="514"/>
      <c r="O2" s="514"/>
      <c r="P2" s="515"/>
      <c r="Z2" s="153">
        <v>3</v>
      </c>
      <c r="AA2" s="153" t="str">
        <f>VLOOKUP(Z2,AA3:AB18,2,0)</f>
        <v>SGT</v>
      </c>
      <c r="AB2" s="153">
        <v>6</v>
      </c>
      <c r="AC2" s="153">
        <f>VLOOKUP(AB2,AA3:AC18,3,0)</f>
      </c>
      <c r="AF2" s="153" t="s">
        <v>180</v>
      </c>
      <c r="AG2" s="153">
        <f>AB169</f>
        <v>15280</v>
      </c>
      <c r="AP2" s="153">
        <v>1</v>
      </c>
      <c r="AQ2" s="153">
        <v>2</v>
      </c>
      <c r="AR2" s="153">
        <v>3</v>
      </c>
      <c r="AS2" s="153">
        <v>4</v>
      </c>
      <c r="AT2" s="153">
        <v>5</v>
      </c>
    </row>
    <row r="3" spans="2:53" ht="26.25" customHeight="1">
      <c r="B3" s="441" t="s">
        <v>182</v>
      </c>
      <c r="C3" s="438"/>
      <c r="D3" s="516" t="s">
        <v>601</v>
      </c>
      <c r="E3" s="517"/>
      <c r="F3" s="517"/>
      <c r="G3" s="517"/>
      <c r="H3" s="517"/>
      <c r="I3" s="518"/>
      <c r="J3" s="519" t="s">
        <v>188</v>
      </c>
      <c r="K3" s="520"/>
      <c r="L3" s="7"/>
      <c r="M3" s="10"/>
      <c r="N3" s="10"/>
      <c r="O3" s="10"/>
      <c r="P3" s="11"/>
      <c r="AA3" s="153">
        <v>1</v>
      </c>
      <c r="AB3" s="153" t="s">
        <v>33</v>
      </c>
      <c r="AC3" s="153">
        <f>IF(Z2&lt;=2,"(Telugu)","")</f>
      </c>
      <c r="AF3" s="153" t="s">
        <v>181</v>
      </c>
      <c r="AG3" s="153">
        <f>AB171</f>
        <v>15280</v>
      </c>
      <c r="AN3" s="153">
        <v>2</v>
      </c>
      <c r="AO3" s="153" t="s">
        <v>161</v>
      </c>
      <c r="AP3" s="153">
        <f>IF(AN3&gt;=AG5,AH5,AG3)</f>
        <v>15280</v>
      </c>
      <c r="AQ3" s="153">
        <f>IF(AN3&gt;=AG5,AI5,AG3)</f>
        <v>15280</v>
      </c>
      <c r="AR3" s="153">
        <f>AG3</f>
        <v>15280</v>
      </c>
      <c r="AS3" s="153">
        <f>AG3</f>
        <v>15280</v>
      </c>
      <c r="AT3" s="153">
        <f>AG3</f>
        <v>15280</v>
      </c>
      <c r="AZ3" s="153">
        <v>1</v>
      </c>
      <c r="BA3" s="61" t="s">
        <v>281</v>
      </c>
    </row>
    <row r="4" spans="2:53" ht="26.25" customHeight="1">
      <c r="B4" s="6" t="s">
        <v>23</v>
      </c>
      <c r="C4" s="501" t="s">
        <v>602</v>
      </c>
      <c r="D4" s="502"/>
      <c r="E4" s="502"/>
      <c r="F4" s="502"/>
      <c r="G4" s="502"/>
      <c r="H4" s="502"/>
      <c r="I4" s="503"/>
      <c r="J4" s="506" t="s">
        <v>37</v>
      </c>
      <c r="K4" s="508"/>
      <c r="L4" s="498" t="s">
        <v>603</v>
      </c>
      <c r="M4" s="499"/>
      <c r="N4" s="499"/>
      <c r="O4" s="499"/>
      <c r="P4" s="500"/>
      <c r="Z4" s="153" t="str">
        <f>CONCATENATE(AA2," ",AC2)</f>
        <v>SGT </v>
      </c>
      <c r="AA4" s="153">
        <v>2</v>
      </c>
      <c r="AB4" s="153" t="s">
        <v>35</v>
      </c>
      <c r="AC4" s="153">
        <f>IF(Z2&lt;=2,"(Hindi)","")</f>
      </c>
      <c r="AH4" s="153" t="s">
        <v>189</v>
      </c>
      <c r="AJ4" s="153" t="s">
        <v>190</v>
      </c>
      <c r="AK4" s="153" t="s">
        <v>192</v>
      </c>
      <c r="AL4" s="153" t="s">
        <v>191</v>
      </c>
      <c r="AN4" s="153">
        <v>3</v>
      </c>
      <c r="AO4" s="153" t="s">
        <v>148</v>
      </c>
      <c r="AP4" s="153">
        <f>IF(AND(AN4&gt;AG7),AH7,IF(AND(AN4&gt;AG6),AH6,IF(AND(AN4&gt;=AG5),AH5,AG3)))</f>
        <v>15280</v>
      </c>
      <c r="AQ4" s="153">
        <f>IF(AND(AN4&gt;AG6),AI6,IF(AND(AN4&gt;AG7),AI7,IF(AND(AN4&gt;=AG5),AI5,AG3)))</f>
        <v>15280</v>
      </c>
      <c r="AR4" s="153">
        <f>IF(AND(AN4&gt;AG7),AJ7,IF(AND(AN4&gt;=AG5),AJ5,IF(AND(AN4&gt;AG6),AJ6,AG3)))</f>
        <v>15280</v>
      </c>
      <c r="AS4" s="153">
        <f>IF(AND(AN4&gt;=AG5),AK5,IF(AND(AN4&gt;AG7),AK7,IF(AND(AN4&gt;AG6),AK6,AG3)))</f>
        <v>15280</v>
      </c>
      <c r="AT4" s="153">
        <f>IF(AND(AN4&gt;AG6),AL6,IF(AND(AN4&gt;=AG5),AL5,IF(AND(AN4&gt;AG7),AL7,AG3)))</f>
        <v>15280</v>
      </c>
      <c r="AZ4" s="153">
        <v>2</v>
      </c>
      <c r="BA4" s="61" t="s">
        <v>226</v>
      </c>
    </row>
    <row r="5" spans="2:53" ht="26.25" customHeight="1" thickBot="1">
      <c r="B5" s="432" t="s">
        <v>551</v>
      </c>
      <c r="C5" s="437"/>
      <c r="D5" s="437"/>
      <c r="E5" s="509" t="s">
        <v>536</v>
      </c>
      <c r="F5" s="510"/>
      <c r="G5" s="510"/>
      <c r="H5" s="511"/>
      <c r="I5" s="7"/>
      <c r="J5" s="11"/>
      <c r="K5" s="7" t="s">
        <v>7</v>
      </c>
      <c r="L5" s="456">
        <v>0</v>
      </c>
      <c r="M5" s="7" t="s">
        <v>45</v>
      </c>
      <c r="N5" s="456">
        <v>0</v>
      </c>
      <c r="O5" s="7" t="s">
        <v>46</v>
      </c>
      <c r="P5" s="456">
        <v>0</v>
      </c>
      <c r="AA5" s="153">
        <v>3</v>
      </c>
      <c r="AB5" s="153" t="s">
        <v>17</v>
      </c>
      <c r="AC5" s="153">
        <f>IF(Z2&lt;=2,"(Urdu)","")</f>
      </c>
      <c r="AF5" s="153" t="s">
        <v>187</v>
      </c>
      <c r="AG5" s="153">
        <f>IF(AA57=1,25,AA57)</f>
        <v>6</v>
      </c>
      <c r="AH5" s="153">
        <f>VLOOKUP(AG3,AE86:AF165,2,0)</f>
        <v>15700</v>
      </c>
      <c r="AI5" s="153">
        <f>VLOOKUP(AG3,AE86:AF165,2,0)</f>
        <v>15700</v>
      </c>
      <c r="AJ5" s="153">
        <f>VLOOKUP(AJ6,AE86:AF165,2,0)</f>
        <v>16150</v>
      </c>
      <c r="AK5" s="153">
        <f>VLOOKUP(AK7,AE86:AF165,2,0)</f>
        <v>17050</v>
      </c>
      <c r="AL5" s="201">
        <f>IF(AND(Z2=1,AG3=14050),15280,IF(AND(Z2=6,AG3=14050),15280,IF(AND(Z2=5,AG3=17050),18520,IF(T104=1,VLOOKUP(AL7,AE86:AG165,2,0),VLOOKUP(AL7,AE86:AG165,3,0)))))</f>
        <v>16600</v>
      </c>
      <c r="AN5" s="153">
        <v>4</v>
      </c>
      <c r="AO5" s="153" t="s">
        <v>149</v>
      </c>
      <c r="AP5" s="153">
        <f>IF(AND(AN5&gt;AG7),AH7,IF(AND(AN5&gt;AG6),AH6,IF(AND(AN5&gt;=AG5),AH5,AG3)))</f>
        <v>15280</v>
      </c>
      <c r="AQ5" s="153">
        <f>IF(AND(AN5&gt;AG6),AI6,IF(AND(AN5&gt;AG7),AI7,IF(AND(AN5&gt;=AG5),AI5,AG3)))</f>
        <v>15280</v>
      </c>
      <c r="AR5" s="153">
        <f>IF(AND(AN5&gt;AG7),AJ7,IF(AND(AN5&gt;=AG5),AJ5,IF(AND(AN5&gt;AG6),AJ6,AG3)))</f>
        <v>15280</v>
      </c>
      <c r="AS5" s="153">
        <f>IF(AND(AN5&gt;=AG5),AK5,IF(AND(AN5&gt;AG7),AK7,IF(AND(AN5&gt;AG6),AK6,AG3)))</f>
        <v>15280</v>
      </c>
      <c r="AT5" s="153">
        <f>IF(AND(AN5&gt;AG6),AL6,IF(AND(AN5&gt;=AG5),AL5,IF(AND(AN5&gt;AG7),AL7,AG3)))</f>
        <v>15280</v>
      </c>
      <c r="AZ5" s="153">
        <v>3</v>
      </c>
      <c r="BA5" s="61" t="s">
        <v>227</v>
      </c>
    </row>
    <row r="6" spans="2:53" ht="26.25" customHeight="1" thickBot="1">
      <c r="B6" s="7" t="s">
        <v>47</v>
      </c>
      <c r="C6" s="12"/>
      <c r="D6" s="460"/>
      <c r="E6" s="525" t="s">
        <v>592</v>
      </c>
      <c r="F6" s="526"/>
      <c r="G6" s="526"/>
      <c r="H6" s="526"/>
      <c r="I6" s="527"/>
      <c r="J6" s="12"/>
      <c r="K6" s="3"/>
      <c r="L6" s="14"/>
      <c r="M6" s="14" t="s">
        <v>6</v>
      </c>
      <c r="N6" s="17"/>
      <c r="O6" s="350" t="s">
        <v>48</v>
      </c>
      <c r="P6" s="7"/>
      <c r="AA6" s="153">
        <v>4</v>
      </c>
      <c r="AB6" s="153" t="s">
        <v>18</v>
      </c>
      <c r="AC6" s="153">
        <f>IF(Z2&lt;=2,"(                    )","")</f>
      </c>
      <c r="AF6" s="153" t="s">
        <v>162</v>
      </c>
      <c r="AG6" s="153">
        <f>IF(AA72=2,25,AA74+1)</f>
        <v>25</v>
      </c>
      <c r="AH6" s="153">
        <f>VLOOKUP(AH5,AE86:AF165,2,0)</f>
        <v>16150</v>
      </c>
      <c r="AI6" s="153">
        <f>VLOOKUP(AI7,AE86:AF165,2,0)</f>
        <v>17050</v>
      </c>
      <c r="AJ6" s="153">
        <f>VLOOKUP(AG3,AE86:AF165,2,0)</f>
        <v>15700</v>
      </c>
      <c r="AK6" s="153">
        <f>VLOOKUP(AG3,AE86:AF165,2,0)</f>
        <v>15700</v>
      </c>
      <c r="AL6" s="201">
        <f>VLOOKUP(AL5,AE86:AF165,2,0)</f>
        <v>17050</v>
      </c>
      <c r="AN6" s="153">
        <v>5</v>
      </c>
      <c r="AO6" s="153" t="s">
        <v>150</v>
      </c>
      <c r="AP6" s="153">
        <f>IF(AND(AN6&gt;AG7),AH7,IF(AND(AN6&gt;AG6),AH6,IF(AND(AN6&gt;=AG5),AH5,AG3)))</f>
        <v>15280</v>
      </c>
      <c r="AQ6" s="153">
        <f>IF(AND(AN6&gt;AG6),AI6,IF(AND(AN6&gt;AG7),AI7,IF(AND(AN6&gt;=AG5),AI5,AG3)))</f>
        <v>15280</v>
      </c>
      <c r="AR6" s="153">
        <f>IF(AND(AN6&gt;AG7),AJ7,IF(AND(AN6&gt;=AG5),AJ5,IF(AND(AN6&gt;AG6),AJ6,AG3)))</f>
        <v>15280</v>
      </c>
      <c r="AS6" s="153">
        <f>IF(AND(AN6&gt;=AG5),AK5,IF(AND(AN6&gt;AG7),AK7,IF(AND(AN6&gt;AG6),AK6,AG3)))</f>
        <v>15280</v>
      </c>
      <c r="AT6" s="153">
        <f>IF(AND(AN6&gt;AG6),AL6,IF(AND(AN6&gt;=AG5),AL5,IF(AND(AN6&gt;AG7),AL7,AG3)))</f>
        <v>15280</v>
      </c>
      <c r="AZ6" s="153">
        <v>4</v>
      </c>
      <c r="BA6" s="61" t="s">
        <v>228</v>
      </c>
    </row>
    <row r="7" spans="2:53" ht="26.25" customHeight="1" thickBot="1">
      <c r="B7" s="8" t="s">
        <v>49</v>
      </c>
      <c r="C7" s="16"/>
      <c r="D7" s="486" t="s">
        <v>50</v>
      </c>
      <c r="E7" s="487"/>
      <c r="F7" s="487"/>
      <c r="G7" s="488"/>
      <c r="H7" s="461"/>
      <c r="I7" s="462"/>
      <c r="J7" s="5"/>
      <c r="K7" s="550" t="s">
        <v>51</v>
      </c>
      <c r="L7" s="535"/>
      <c r="M7" s="535"/>
      <c r="N7" s="536"/>
      <c r="P7" s="7"/>
      <c r="AA7" s="153">
        <v>5</v>
      </c>
      <c r="AB7" s="153" t="s">
        <v>34</v>
      </c>
      <c r="AC7" s="153">
        <f>IF(Z2=1,"(English)","")</f>
      </c>
      <c r="AF7" s="153" t="s">
        <v>163</v>
      </c>
      <c r="AG7" s="153">
        <f>IF(U83=2,25,W86+1)</f>
        <v>25</v>
      </c>
      <c r="AH7" s="153">
        <f>MAX(AF8,AG8)</f>
        <v>17050</v>
      </c>
      <c r="AI7" s="153">
        <f>MAX(AF9,AG8)</f>
        <v>16600</v>
      </c>
      <c r="AJ7" s="153">
        <f>MAX(AF10,AG8)</f>
        <v>17050</v>
      </c>
      <c r="AK7" s="153">
        <f>MAX(AF14,AG8)</f>
        <v>16600</v>
      </c>
      <c r="AL7" s="202">
        <f>MAX(AF15,AG8)</f>
        <v>16150</v>
      </c>
      <c r="AN7" s="153">
        <v>6</v>
      </c>
      <c r="AO7" s="153" t="s">
        <v>151</v>
      </c>
      <c r="AP7" s="153">
        <f>IF(AND(AN7&gt;AG7),AH7,IF(AND(AN7&gt;AG6),AH6,IF(AND(AN7&gt;=AG5),AH5,AG3)))</f>
        <v>15700</v>
      </c>
      <c r="AQ7" s="153">
        <f>IF(AND(AN7&gt;AG6),AI6,IF(AND(AN7&gt;AG7),AI7,IF(AND(AN7&gt;=AG5),AI5,AG3)))</f>
        <v>15700</v>
      </c>
      <c r="AR7" s="153">
        <f>IF(AND(AN7&gt;AG7),AJ7,IF(AND(AN7&gt;=AG5),AJ5,IF(AND(AN7&gt;AG6),AJ6,AG3)))</f>
        <v>16150</v>
      </c>
      <c r="AS7" s="153">
        <f>IF(AND(AN7&gt;=AG5),AK5,IF(AND(AN7&gt;AG7),AK7,IF(AND(AN7&gt;AG6),AK6,AG3)))</f>
        <v>17050</v>
      </c>
      <c r="AT7" s="153">
        <f>IF(AND(AN7&gt;AG6),AL6,IF(AND(AN7&gt;=AG5),AL5,IF(AND(AN7&gt;AG7),AL7,AG3)))</f>
        <v>16600</v>
      </c>
      <c r="AZ7" s="153">
        <v>5</v>
      </c>
      <c r="BA7" s="61" t="s">
        <v>229</v>
      </c>
    </row>
    <row r="8" spans="2:53" ht="26.25" customHeight="1" thickBot="1">
      <c r="B8" s="7" t="s">
        <v>52</v>
      </c>
      <c r="C8" s="53"/>
      <c r="D8" s="528" t="s">
        <v>38</v>
      </c>
      <c r="E8" s="529"/>
      <c r="F8" s="529"/>
      <c r="G8" s="529"/>
      <c r="H8" s="529"/>
      <c r="I8" s="530"/>
      <c r="J8" s="481" t="s">
        <v>53</v>
      </c>
      <c r="K8" s="482"/>
      <c r="L8" s="435"/>
      <c r="M8" s="10"/>
      <c r="N8" s="40" t="s">
        <v>185</v>
      </c>
      <c r="O8" s="5"/>
      <c r="P8" s="14"/>
      <c r="AA8" s="153">
        <v>6</v>
      </c>
      <c r="AB8" s="153" t="s">
        <v>526</v>
      </c>
      <c r="AC8" s="153">
        <f>IF(Z2=1,"(Maths)","")</f>
      </c>
      <c r="AF8" s="153">
        <f>IF(T104=2,VLOOKUP(AH6,AE86:AG165,2,0),VLOOKUP(AH6,AE86:AG165,3,0))</f>
        <v>17050</v>
      </c>
      <c r="AG8" s="153">
        <f>IF(Z2=5,18030,IF(Z2=1,14860,IF(Z2=6,14860,0)))</f>
        <v>0</v>
      </c>
      <c r="AH8" s="153">
        <f>IF(AND(AG7&lt;AG5,AG5&lt;=AG6),5,IF(AND(AG5&lt;=AG6,AG7&lt;=AG6),2,IF(AND(AG5&lt;=AG6,AG5&lt;=AG7),1,IF(AND(AG6&lt;AG5,AG7&lt;AG5),4,IF(AND(AG6&lt;AG5,AG6&lt;=AG7),3)))))</f>
        <v>2</v>
      </c>
      <c r="AJ8" s="203"/>
      <c r="AN8" s="153">
        <v>7</v>
      </c>
      <c r="AO8" s="153" t="s">
        <v>152</v>
      </c>
      <c r="AP8" s="153">
        <f>IF(AND(AN8&gt;AG7),AH7,IF(AND(AN8&gt;AG6),AH6,IF(AND(AN8&gt;=AG5),AH5,AG3)))</f>
        <v>15700</v>
      </c>
      <c r="AQ8" s="153">
        <f>IF(AND(AN8&gt;AG6),AI6,IF(AND(AN8&gt;AG7),AI7,IF(AND(AN8&gt;=AG5),AI5,AG3)))</f>
        <v>15700</v>
      </c>
      <c r="AR8" s="153">
        <f>IF(AND(AN8&gt;AG7),AJ7,IF(AND(AN8&gt;=AG5),AJ5,IF(AND(AN8&gt;AG6),AJ6,AG3)))</f>
        <v>16150</v>
      </c>
      <c r="AS8" s="153">
        <f>IF(AND(AN8&gt;=AG5),AK5,IF(AND(AN8&gt;AG7),AK7,IF(AND(AN8&gt;AG6),AK6,AG3)))</f>
        <v>17050</v>
      </c>
      <c r="AT8" s="153">
        <f>IF(AND(AN8&gt;AG6),AL6,IF(AND(AN8&gt;=AG5),AL5,IF(AND(AN8&gt;AG7),AL7,AG3)))</f>
        <v>16600</v>
      </c>
      <c r="AZ8" s="153">
        <v>6</v>
      </c>
      <c r="BA8" s="61" t="s">
        <v>230</v>
      </c>
    </row>
    <row r="9" spans="2:53" ht="26.25" customHeight="1" thickBot="1">
      <c r="B9" s="9" t="s">
        <v>54</v>
      </c>
      <c r="C9" s="457">
        <v>220</v>
      </c>
      <c r="D9" s="486" t="s">
        <v>55</v>
      </c>
      <c r="E9" s="487"/>
      <c r="F9" s="487"/>
      <c r="G9" s="551"/>
      <c r="J9" s="486" t="s">
        <v>199</v>
      </c>
      <c r="K9" s="488"/>
      <c r="L9" s="456">
        <v>0</v>
      </c>
      <c r="M9" s="552" t="s">
        <v>208</v>
      </c>
      <c r="N9" s="553"/>
      <c r="O9" s="553"/>
      <c r="P9" s="456"/>
      <c r="AA9" s="153">
        <v>7</v>
      </c>
      <c r="AB9" s="153" t="s">
        <v>145</v>
      </c>
      <c r="AC9" s="153">
        <f>IF(Z2=1,"(Phy.Sci.)","")</f>
      </c>
      <c r="AF9" s="153">
        <f>IF(T104=2,VLOOKUP(AI5,AE86:AG165,2,0),VLOOKUP(AI5,AE86:AG165,3,0))</f>
        <v>16600</v>
      </c>
      <c r="AJ9" s="203"/>
      <c r="AN9" s="153">
        <v>8</v>
      </c>
      <c r="AO9" s="153" t="s">
        <v>153</v>
      </c>
      <c r="AP9" s="153">
        <f>IF(AND(AN9&gt;AG7),AH7,IF(AND(AN9&gt;AG6),AH6,IF(AND(AN9&gt;=AG5),AH5,AG3)))</f>
        <v>15700</v>
      </c>
      <c r="AQ9" s="153">
        <f>IF(AND(AN9&gt;AG6),AI6,IF(AND(AN9&gt;AG7),AI7,IF(AND(AN9&gt;=AG5),AI5,AG3)))</f>
        <v>15700</v>
      </c>
      <c r="AR9" s="153">
        <f>IF(AND(AN9&gt;AG7),AJ7,IF(AND(AN9&gt;=AG5),AJ5,IF(AND(AN9&gt;AG6),AJ6,AG3)))</f>
        <v>16150</v>
      </c>
      <c r="AS9" s="153">
        <f>IF(AND(AN9&gt;=AG5),AK5,IF(AND(AN9&gt;AG7),AK7,IF(AND(AN9&gt;AG6),AK6,AG3)))</f>
        <v>17050</v>
      </c>
      <c r="AT9" s="153">
        <f>IF(AND(AN9&gt;AG6),AL6,IF(AND(AN9&gt;=AG5),AL5,IF(AND(AN9&gt;AG7),AL7,AG3)))</f>
        <v>16600</v>
      </c>
      <c r="AZ9" s="153">
        <v>7</v>
      </c>
      <c r="BA9" s="61" t="s">
        <v>231</v>
      </c>
    </row>
    <row r="10" spans="2:53" ht="26.25" customHeight="1" thickBot="1">
      <c r="B10" s="560" t="s">
        <v>598</v>
      </c>
      <c r="C10" s="455" t="s">
        <v>2</v>
      </c>
      <c r="D10" s="457">
        <v>6720</v>
      </c>
      <c r="E10" s="560" t="s">
        <v>587</v>
      </c>
      <c r="F10" s="564"/>
      <c r="G10" s="564"/>
      <c r="H10" s="565"/>
      <c r="I10" s="473">
        <v>9608</v>
      </c>
      <c r="J10" s="570" t="s">
        <v>599</v>
      </c>
      <c r="K10" s="571"/>
      <c r="L10" s="572"/>
      <c r="M10" s="457"/>
      <c r="N10" s="570" t="s">
        <v>600</v>
      </c>
      <c r="O10" s="572"/>
      <c r="P10" s="473"/>
      <c r="AA10" s="153">
        <v>8</v>
      </c>
      <c r="AB10" s="153" t="s">
        <v>147</v>
      </c>
      <c r="AC10" s="153">
        <f>IF(Z2=1,"(Bio.Sci.)","")</f>
      </c>
      <c r="AF10" s="153">
        <f>IF(T104=2,VLOOKUP(AJ5,AE86:AG165,2,0),VLOOKUP(AJ5,AE86:AG165,3,0))</f>
        <v>17050</v>
      </c>
      <c r="AJ10" s="203"/>
      <c r="AN10" s="153">
        <v>9</v>
      </c>
      <c r="AO10" s="153" t="s">
        <v>154</v>
      </c>
      <c r="AP10" s="153">
        <f>IF(AND(AN10&gt;AG7),AH7,IF(AND(AN10&gt;AG6),AH6,IF(AND(AN10&gt;=AG5),AH5,AG3)))</f>
        <v>15700</v>
      </c>
      <c r="AQ10" s="153">
        <f>IF(AND(AN10&gt;AG6),AI6,IF(AND(AN10&gt;AG7),AI7,IF(AND(AN10&gt;=AG5),AI5,AG3)))</f>
        <v>15700</v>
      </c>
      <c r="AR10" s="153">
        <f>IF(AND(AN10&gt;AG7),AJ7,IF(AND(AN10&gt;=AG5),AJ5,IF(AND(AN10&gt;AG6),AJ6,AG3)))</f>
        <v>16150</v>
      </c>
      <c r="AS10" s="153">
        <f>IF(AND(AN10&gt;=AG5),AK5,IF(AND(AN10&gt;AG7),AK7,IF(AND(AN10&gt;AG6),AK6,AG3)))</f>
        <v>17050</v>
      </c>
      <c r="AT10" s="153">
        <f>IF(AND(AN10&gt;AG6),AL6,IF(AND(AN10&gt;=AG5),AL5,IF(AND(AN10&gt;AG7),AL7,AG3)))</f>
        <v>16600</v>
      </c>
      <c r="AZ10" s="153">
        <v>8</v>
      </c>
      <c r="BA10" s="61" t="s">
        <v>218</v>
      </c>
    </row>
    <row r="11" spans="2:53" ht="26.25" customHeight="1" thickBot="1">
      <c r="B11" s="561"/>
      <c r="C11" s="455" t="s">
        <v>3</v>
      </c>
      <c r="D11" s="457">
        <v>1594</v>
      </c>
      <c r="E11" s="561"/>
      <c r="F11" s="566"/>
      <c r="G11" s="566"/>
      <c r="H11" s="567"/>
      <c r="I11" s="474"/>
      <c r="J11" s="573"/>
      <c r="K11" s="574"/>
      <c r="L11" s="575"/>
      <c r="M11" s="457"/>
      <c r="N11" s="573"/>
      <c r="O11" s="575"/>
      <c r="P11" s="474"/>
      <c r="AJ11" s="203"/>
      <c r="BA11" s="61"/>
    </row>
    <row r="12" spans="2:53" ht="26.25" customHeight="1" thickBot="1">
      <c r="B12" s="561"/>
      <c r="C12" s="455" t="s">
        <v>4</v>
      </c>
      <c r="D12" s="457">
        <v>1344</v>
      </c>
      <c r="E12" s="561"/>
      <c r="F12" s="566"/>
      <c r="G12" s="566"/>
      <c r="H12" s="567"/>
      <c r="I12" s="474"/>
      <c r="J12" s="573"/>
      <c r="K12" s="574"/>
      <c r="L12" s="575"/>
      <c r="M12" s="457"/>
      <c r="N12" s="573"/>
      <c r="O12" s="575"/>
      <c r="P12" s="474"/>
      <c r="AJ12" s="203"/>
      <c r="BA12" s="61"/>
    </row>
    <row r="13" spans="2:53" ht="26.25" customHeight="1" thickBot="1">
      <c r="B13" s="562"/>
      <c r="C13" s="455" t="s">
        <v>46</v>
      </c>
      <c r="D13" s="457">
        <v>0</v>
      </c>
      <c r="E13" s="562"/>
      <c r="F13" s="568"/>
      <c r="G13" s="568"/>
      <c r="H13" s="569"/>
      <c r="I13" s="475"/>
      <c r="J13" s="576"/>
      <c r="K13" s="577"/>
      <c r="L13" s="578"/>
      <c r="M13" s="457"/>
      <c r="N13" s="576"/>
      <c r="O13" s="578"/>
      <c r="P13" s="475"/>
      <c r="AJ13" s="203"/>
      <c r="BA13" s="61"/>
    </row>
    <row r="14" spans="2:53" ht="26.25" customHeight="1" thickBot="1">
      <c r="B14" s="459" t="s">
        <v>36</v>
      </c>
      <c r="C14" s="541"/>
      <c r="D14" s="542"/>
      <c r="E14" s="13" t="s">
        <v>44</v>
      </c>
      <c r="F14" s="477"/>
      <c r="G14" s="548"/>
      <c r="H14" s="548"/>
      <c r="I14" s="478"/>
      <c r="J14" s="543" t="s">
        <v>376</v>
      </c>
      <c r="K14" s="544"/>
      <c r="L14" s="498"/>
      <c r="M14" s="499"/>
      <c r="N14" s="499"/>
      <c r="O14" s="499"/>
      <c r="P14" s="500"/>
      <c r="AA14" s="153">
        <v>9</v>
      </c>
      <c r="AB14" s="153" t="s">
        <v>146</v>
      </c>
      <c r="AC14" s="153">
        <f>IF(Z2=1,"(Social)","")</f>
      </c>
      <c r="AF14" s="153">
        <f>IF(T104=2,VLOOKUP(AK6,AE86:AG165,2,0),VLOOKUP(AK6,AE86:AG165,3,0))</f>
        <v>16600</v>
      </c>
      <c r="AJ14" s="203"/>
      <c r="AN14" s="153">
        <v>10</v>
      </c>
      <c r="AO14" s="153" t="s">
        <v>155</v>
      </c>
      <c r="AP14" s="153">
        <f>IF(AND(AN14&gt;AG7),AH7,IF(AND(AN14&gt;AG6),AH6,IF(AND(AN14&gt;=AG5),AH5,AG3)))</f>
        <v>15700</v>
      </c>
      <c r="AQ14" s="153">
        <f>IF(AND(AN14&gt;AG6),AI6,IF(AND(AN14&gt;AG7),AI7,IF(AND(AN14&gt;=AG5),AI5,AG3)))</f>
        <v>15700</v>
      </c>
      <c r="AR14" s="153">
        <f>IF(AND(AN14&gt;AG7),AJ7,IF(AND(AN14&gt;=AG5),AJ5,IF(AND(AN14&gt;AG6),AJ6,AG3)))</f>
        <v>16150</v>
      </c>
      <c r="AS14" s="153">
        <f>IF(AND(AN14&gt;=AG5),AK5,IF(AND(AN14&gt;AG7),AK7,IF(AND(AN14&gt;AG6),AK6,AG3)))</f>
        <v>17050</v>
      </c>
      <c r="AT14" s="153">
        <f>IF(AND(AN14&gt;AG6),AL6,IF(AND(AN14&gt;=AG5),AL5,IF(AND(AN14&gt;AG7),AL7,AG3)))</f>
        <v>16600</v>
      </c>
      <c r="AZ14" s="153">
        <v>9</v>
      </c>
      <c r="BA14" s="61" t="s">
        <v>232</v>
      </c>
    </row>
    <row r="15" spans="2:46" ht="26.25" customHeight="1">
      <c r="B15" s="7" t="s">
        <v>177</v>
      </c>
      <c r="C15" s="477">
        <v>1500</v>
      </c>
      <c r="D15" s="478"/>
      <c r="E15" s="486" t="s">
        <v>38</v>
      </c>
      <c r="F15" s="487"/>
      <c r="G15" s="487"/>
      <c r="H15" s="487"/>
      <c r="I15" s="488"/>
      <c r="J15" s="3"/>
      <c r="K15" s="14"/>
      <c r="L15" s="563" t="s">
        <v>39</v>
      </c>
      <c r="M15" s="546"/>
      <c r="N15" s="547"/>
      <c r="O15" s="477"/>
      <c r="P15" s="478"/>
      <c r="AA15" s="153">
        <v>10</v>
      </c>
      <c r="AC15" s="153">
        <f>IF(Z2=1,"(Phy.Edn)","")</f>
      </c>
      <c r="AF15" s="153">
        <f>IF(T104=2,VLOOKUP(AG3,AE86:AG165,2,0),VLOOKUP(AG3,AE86:AG165,3,0))</f>
        <v>16150</v>
      </c>
      <c r="AJ15" s="203"/>
      <c r="AN15" s="153">
        <v>11</v>
      </c>
      <c r="AO15" s="153" t="s">
        <v>156</v>
      </c>
      <c r="AP15" s="153">
        <f>IF(AND(AN15&gt;AG7),AH7,IF(AND(AN15&gt;AG6),AH6,IF(AND(AN15&gt;=AG5),AH5,AG3)))</f>
        <v>15700</v>
      </c>
      <c r="AQ15" s="153">
        <f>IF(AND(AN15&gt;AG6),AI6,IF(AND(AN15&gt;AG7),AI7,IF(AND(AN15&gt;=AG5),AI5,AG3)))</f>
        <v>15700</v>
      </c>
      <c r="AR15" s="153">
        <f>IF(AND(AN15&gt;AG7),AJ7,IF(AND(AN15&gt;=AG5),AJ5,IF(AND(AN15&gt;AG6),AJ6,AG3)))</f>
        <v>16150</v>
      </c>
      <c r="AS15" s="153">
        <f>IF(AND(AN15&gt;=AG5),AK5,IF(AND(AN15&gt;AG7),AK7,IF(AND(AN15&gt;AG6),AK6,AG3)))</f>
        <v>17050</v>
      </c>
      <c r="AT15" s="153">
        <f>IF(AND(AN15&gt;AG6),AL6,IF(AND(AN15&gt;=AG5),AL5,IF(AND(AN15&gt;AG7),AL7,AG3)))</f>
        <v>16600</v>
      </c>
    </row>
    <row r="16" spans="2:53" ht="26.25" customHeight="1">
      <c r="B16" s="7" t="s">
        <v>40</v>
      </c>
      <c r="C16" s="504"/>
      <c r="D16" s="505"/>
      <c r="E16" s="47" t="s">
        <v>41</v>
      </c>
      <c r="F16" s="48"/>
      <c r="G16" s="456">
        <v>450</v>
      </c>
      <c r="H16" s="545" t="s">
        <v>42</v>
      </c>
      <c r="I16" s="546"/>
      <c r="J16" s="546"/>
      <c r="K16" s="547"/>
      <c r="L16" s="15"/>
      <c r="M16" s="11"/>
      <c r="N16" s="550" t="s">
        <v>43</v>
      </c>
      <c r="O16" s="536"/>
      <c r="P16" s="458">
        <v>600</v>
      </c>
      <c r="AA16" s="153">
        <v>11</v>
      </c>
      <c r="AJ16" s="203"/>
      <c r="AN16" s="153">
        <v>12</v>
      </c>
      <c r="AO16" s="153" t="s">
        <v>157</v>
      </c>
      <c r="AP16" s="153">
        <f>IF(AND(AN16&gt;AG7),AH7,IF(AND(AN16&gt;AG6),AH6,IF(AND(AN16&gt;=AG5),AH5,AG3)))</f>
        <v>15700</v>
      </c>
      <c r="AQ16" s="153">
        <f>IF(AND(AN16&gt;AG6),AI6,IF(AND(AN16&gt;AG7),AI7,IF(AND(AN16&gt;=AG5),AI5,AG3)))</f>
        <v>15700</v>
      </c>
      <c r="AR16" s="153">
        <f>IF(AND(AN16&gt;AG7),AJ7,IF(AND(AN16&gt;=AG5),AJ5,IF(AND(AN16&gt;AG6),AJ6,AG3)))</f>
        <v>16150</v>
      </c>
      <c r="AS16" s="153">
        <f>IF(AND(AN16&gt;AG5),AK5,IF(AND(AN16&gt;AG7),AK7,IF(AND(AN16&gt;AG6),AK6,AG3)))</f>
        <v>17050</v>
      </c>
      <c r="AT16" s="153">
        <f>IF(AND(AN16&gt;AG6),AL6,IF(AND(AN16&gt;=AG5),AL5,IF(AND(AN16&gt;AG7),AL7,AG3)))</f>
        <v>16600</v>
      </c>
      <c r="AZ16" s="153">
        <v>1</v>
      </c>
      <c r="BA16" s="153" t="str">
        <f>VLOOKUP(AZ16,AZ3:BA14,2,)</f>
        <v>Children Tution Fee </v>
      </c>
    </row>
    <row r="17" spans="2:53" ht="26.25" customHeight="1">
      <c r="B17" s="506" t="s">
        <v>233</v>
      </c>
      <c r="C17" s="507"/>
      <c r="D17" s="508"/>
      <c r="E17" s="439">
        <v>624</v>
      </c>
      <c r="F17" s="7" t="s">
        <v>22</v>
      </c>
      <c r="G17" s="11"/>
      <c r="H17" s="486" t="s">
        <v>292</v>
      </c>
      <c r="I17" s="488"/>
      <c r="J17" s="39"/>
      <c r="L17" s="535" t="str">
        <f>P72</f>
        <v>To get HRA Exemption, your Rent will be Rs. 5500</v>
      </c>
      <c r="M17" s="535"/>
      <c r="N17" s="535"/>
      <c r="O17" s="536"/>
      <c r="P17" s="456">
        <v>5000</v>
      </c>
      <c r="AA17" s="153">
        <v>12</v>
      </c>
      <c r="AD17" s="168"/>
      <c r="AE17" s="170"/>
      <c r="AN17" s="153">
        <v>13</v>
      </c>
      <c r="AO17" s="153" t="s">
        <v>158</v>
      </c>
      <c r="AP17" s="153">
        <f>IF(AND(AN17&gt;AG7),AH7,IF(AND(AN17&gt;AG6),AH6,IF(AND(AN17&gt;=AG5),AH5,AG3)))</f>
        <v>15700</v>
      </c>
      <c r="AQ17" s="153">
        <f>IF(AND(AN17&gt;AG6),AI6,IF(AND(AN17&gt;AG7),AI7,IF(AND(AN17&gt;=AG5),AI5,AG3)))</f>
        <v>15700</v>
      </c>
      <c r="AR17" s="153">
        <f>IF(AND(AN17&gt;AG7),AJ7,IF(AND(AN17&gt;=AG5),AJ5,IF(AND(AN17&gt;AG6),AJ6,AG3)))</f>
        <v>16150</v>
      </c>
      <c r="AS17" s="153">
        <f>IF(AND(AN17&gt;=AG5),AK5,IF(AND(AN17&gt;AG7),AK7,IF(AND(AN17&gt;AG6),AK6,AG3)))</f>
        <v>17050</v>
      </c>
      <c r="AT17" s="153">
        <f>IF(AND(AN17&gt;AG6),AL6,IF(AND(AN17&gt;=AG5),AL5,IF(AND(AN17&gt;AG7),AL7,AG3)))</f>
        <v>16600</v>
      </c>
      <c r="AZ17" s="153">
        <v>2</v>
      </c>
      <c r="BA17" s="153" t="str">
        <f>VLOOKUP(AZ17,AZ3:BA14,2,)</f>
        <v>Repayement of Home Loan Premium</v>
      </c>
    </row>
    <row r="18" spans="2:53" ht="26.25" customHeight="1">
      <c r="B18" s="483" t="s">
        <v>240</v>
      </c>
      <c r="C18" s="484"/>
      <c r="D18" s="485"/>
      <c r="E18" s="477">
        <v>79000</v>
      </c>
      <c r="F18" s="478"/>
      <c r="G18" s="532" t="s">
        <v>282</v>
      </c>
      <c r="H18" s="533"/>
      <c r="I18" s="533"/>
      <c r="J18" s="533"/>
      <c r="K18" s="534"/>
      <c r="L18" s="62" t="s">
        <v>240</v>
      </c>
      <c r="M18" s="477">
        <v>0</v>
      </c>
      <c r="N18" s="478"/>
      <c r="O18" s="479" t="s">
        <v>300</v>
      </c>
      <c r="P18" s="480"/>
      <c r="AA18" s="153">
        <v>13</v>
      </c>
      <c r="AD18" s="171">
        <v>2</v>
      </c>
      <c r="AE18" s="172">
        <f>VLOOKUP(AD18,AD19:AE22,2,90)</f>
        <v>30</v>
      </c>
      <c r="AZ18" s="153">
        <v>4</v>
      </c>
      <c r="BA18" s="153" t="str">
        <f>VLOOKUP(AZ18,AZ3:BA14,2,)</f>
        <v>LIC Annual Premiums Paid by Hand</v>
      </c>
    </row>
    <row r="19" spans="2:53" ht="26.25" customHeight="1">
      <c r="B19" s="483" t="s">
        <v>240</v>
      </c>
      <c r="C19" s="484"/>
      <c r="D19" s="485"/>
      <c r="E19" s="477">
        <v>0</v>
      </c>
      <c r="F19" s="478"/>
      <c r="G19" s="532" t="s">
        <v>283</v>
      </c>
      <c r="H19" s="533"/>
      <c r="I19" s="533"/>
      <c r="J19" s="533"/>
      <c r="K19" s="534"/>
      <c r="L19" s="62" t="s">
        <v>240</v>
      </c>
      <c r="M19" s="477">
        <v>0</v>
      </c>
      <c r="N19" s="478"/>
      <c r="O19" s="38" t="s">
        <v>582</v>
      </c>
      <c r="P19" s="458">
        <v>0</v>
      </c>
      <c r="AD19" s="171">
        <v>1</v>
      </c>
      <c r="AE19" s="172">
        <v>15</v>
      </c>
      <c r="AZ19" s="153">
        <v>5</v>
      </c>
      <c r="BA19" s="153" t="str">
        <f>VLOOKUP(AZ19,AZ3:BA14,2,)</f>
        <v>PLI Annual Premuim</v>
      </c>
    </row>
    <row r="20" spans="2:53" ht="26.25" customHeight="1">
      <c r="B20" s="483" t="s">
        <v>240</v>
      </c>
      <c r="C20" s="484"/>
      <c r="D20" s="485"/>
      <c r="E20" s="477"/>
      <c r="F20" s="478"/>
      <c r="G20" s="489" t="s">
        <v>284</v>
      </c>
      <c r="H20" s="490"/>
      <c r="I20" s="490"/>
      <c r="J20" s="490"/>
      <c r="K20" s="491"/>
      <c r="L20" s="62" t="s">
        <v>240</v>
      </c>
      <c r="M20" s="477">
        <v>0</v>
      </c>
      <c r="N20" s="478"/>
      <c r="O20" s="7" t="s">
        <v>583</v>
      </c>
      <c r="P20" s="458">
        <v>0</v>
      </c>
      <c r="AD20" s="171">
        <v>2</v>
      </c>
      <c r="AE20" s="172">
        <v>30</v>
      </c>
      <c r="AZ20" s="153">
        <v>7</v>
      </c>
      <c r="BA20" s="153" t="str">
        <f>VLOOKUP(AZ20,AZ3:BA14,2,)</f>
        <v>5 Years Fixed Deposits </v>
      </c>
    </row>
    <row r="21" spans="2:53" ht="26.25" customHeight="1">
      <c r="B21" s="483" t="s">
        <v>240</v>
      </c>
      <c r="C21" s="484"/>
      <c r="D21" s="485"/>
      <c r="E21" s="477">
        <v>0</v>
      </c>
      <c r="F21" s="478"/>
      <c r="G21" s="492"/>
      <c r="H21" s="493"/>
      <c r="I21" s="493"/>
      <c r="J21" s="493"/>
      <c r="K21" s="494"/>
      <c r="L21" s="62" t="s">
        <v>240</v>
      </c>
      <c r="M21" s="538">
        <f>R68</f>
        <v>0</v>
      </c>
      <c r="N21" s="539"/>
      <c r="O21" s="7" t="s">
        <v>538</v>
      </c>
      <c r="P21" s="458">
        <v>0</v>
      </c>
      <c r="AA21" s="153">
        <v>2</v>
      </c>
      <c r="AB21" s="153" t="str">
        <f>VLOOKUP(AA21,AA22:AB24,2,0)</f>
        <v>Smt.</v>
      </c>
      <c r="AD21" s="171">
        <v>3</v>
      </c>
      <c r="AE21" s="172">
        <v>60</v>
      </c>
      <c r="AZ21" s="153">
        <v>6</v>
      </c>
      <c r="BA21" s="153" t="str">
        <f>VLOOKUP(AZ21,AZ3:BA14,2,)</f>
        <v>Unit Linked Insurance Plan</v>
      </c>
    </row>
    <row r="22" spans="2:31" ht="26.25" customHeight="1" thickBot="1">
      <c r="B22" s="483" t="s">
        <v>240</v>
      </c>
      <c r="C22" s="484"/>
      <c r="D22" s="485"/>
      <c r="E22" s="477">
        <v>0</v>
      </c>
      <c r="F22" s="478"/>
      <c r="G22" s="486"/>
      <c r="H22" s="487"/>
      <c r="I22" s="487"/>
      <c r="J22" s="487"/>
      <c r="K22" s="488"/>
      <c r="L22" s="62" t="s">
        <v>240</v>
      </c>
      <c r="M22" s="477"/>
      <c r="N22" s="478"/>
      <c r="O22" s="7" t="s">
        <v>539</v>
      </c>
      <c r="P22" s="458">
        <v>0</v>
      </c>
      <c r="AA22" s="153">
        <v>1</v>
      </c>
      <c r="AB22" s="153" t="s">
        <v>139</v>
      </c>
      <c r="AD22" s="173">
        <v>4</v>
      </c>
      <c r="AE22" s="180">
        <v>120</v>
      </c>
    </row>
    <row r="23" spans="2:28" ht="26.25" customHeight="1" thickBot="1">
      <c r="B23" s="483" t="s">
        <v>240</v>
      </c>
      <c r="C23" s="484"/>
      <c r="D23" s="485"/>
      <c r="E23" s="477">
        <v>0</v>
      </c>
      <c r="F23" s="478"/>
      <c r="G23" s="486" t="s">
        <v>580</v>
      </c>
      <c r="H23" s="487"/>
      <c r="I23" s="487"/>
      <c r="J23" s="487"/>
      <c r="K23" s="488"/>
      <c r="L23" s="62" t="s">
        <v>240</v>
      </c>
      <c r="M23" s="477">
        <v>0</v>
      </c>
      <c r="N23" s="478"/>
      <c r="O23" s="7" t="s">
        <v>540</v>
      </c>
      <c r="P23" s="458">
        <v>0</v>
      </c>
      <c r="AA23" s="153">
        <v>2</v>
      </c>
      <c r="AB23" s="153" t="s">
        <v>140</v>
      </c>
    </row>
    <row r="24" spans="1:194" s="4" customFormat="1" ht="26.25" customHeight="1" thickBot="1">
      <c r="A24" s="42"/>
      <c r="B24" s="495"/>
      <c r="C24" s="496"/>
      <c r="D24" s="150" t="s">
        <v>46</v>
      </c>
      <c r="E24" s="477">
        <v>0</v>
      </c>
      <c r="F24" s="478"/>
      <c r="G24" s="554"/>
      <c r="H24" s="555"/>
      <c r="I24" s="463" t="s">
        <v>527</v>
      </c>
      <c r="J24" s="341"/>
      <c r="K24" s="341"/>
      <c r="L24" s="341"/>
      <c r="M24" s="342"/>
      <c r="O24" s="38" t="s">
        <v>541</v>
      </c>
      <c r="P24" s="458">
        <v>0</v>
      </c>
      <c r="Q24" s="204"/>
      <c r="R24" s="204"/>
      <c r="S24" s="204"/>
      <c r="T24" s="204"/>
      <c r="U24" s="204"/>
      <c r="V24" s="204"/>
      <c r="W24" s="204"/>
      <c r="X24" s="204"/>
      <c r="Y24" s="204"/>
      <c r="Z24" s="204"/>
      <c r="AA24" s="153">
        <v>3</v>
      </c>
      <c r="AB24" s="153" t="s">
        <v>141</v>
      </c>
      <c r="AC24" s="204"/>
      <c r="AD24" s="204"/>
      <c r="AE24" s="205"/>
      <c r="AF24" s="155"/>
      <c r="AG24" s="205"/>
      <c r="AH24" s="205"/>
      <c r="AI24" s="205"/>
      <c r="AJ24" s="205"/>
      <c r="AK24" s="205"/>
      <c r="AL24" s="205"/>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row>
    <row r="25" spans="1:38" ht="26.25" customHeight="1" thickBot="1">
      <c r="A25" s="108"/>
      <c r="B25" s="522" t="s">
        <v>589</v>
      </c>
      <c r="C25" s="523"/>
      <c r="D25" s="523"/>
      <c r="E25" s="524"/>
      <c r="F25" s="10"/>
      <c r="G25" s="556"/>
      <c r="H25" s="557"/>
      <c r="I25" s="343" t="s">
        <v>528</v>
      </c>
      <c r="J25" s="344"/>
      <c r="K25" s="344"/>
      <c r="L25" s="344"/>
      <c r="M25" s="345"/>
      <c r="N25" s="151"/>
      <c r="O25" s="7" t="s">
        <v>542</v>
      </c>
      <c r="P25" s="458">
        <v>0</v>
      </c>
      <c r="AE25" s="155"/>
      <c r="AF25" s="155"/>
      <c r="AG25" s="155"/>
      <c r="AH25" s="155"/>
      <c r="AI25" s="155"/>
      <c r="AJ25" s="155"/>
      <c r="AK25" s="155"/>
      <c r="AL25" s="155"/>
    </row>
    <row r="26" spans="1:43" ht="26.25" customHeight="1" thickBot="1">
      <c r="A26" s="109"/>
      <c r="B26" s="7" t="s">
        <v>375</v>
      </c>
      <c r="C26" s="498" t="s">
        <v>604</v>
      </c>
      <c r="D26" s="499"/>
      <c r="E26" s="499"/>
      <c r="F26" s="500"/>
      <c r="G26" s="556"/>
      <c r="H26" s="557"/>
      <c r="I26" s="464" t="s">
        <v>596</v>
      </c>
      <c r="J26" s="344"/>
      <c r="K26" s="344"/>
      <c r="L26" s="344"/>
      <c r="M26" s="345"/>
      <c r="N26" s="111" t="s">
        <v>301</v>
      </c>
      <c r="O26" s="7" t="s">
        <v>543</v>
      </c>
      <c r="P26" s="458">
        <v>0</v>
      </c>
      <c r="AE26" s="155"/>
      <c r="AF26" s="155"/>
      <c r="AG26" s="156"/>
      <c r="AH26" s="157"/>
      <c r="AI26" s="158"/>
      <c r="AJ26" s="158"/>
      <c r="AK26" s="159"/>
      <c r="AL26" s="497"/>
      <c r="AN26" s="153">
        <v>2</v>
      </c>
      <c r="AO26" s="153" t="s">
        <v>548</v>
      </c>
      <c r="AP26" s="153">
        <f>IF(AND(AH8=1),VLOOKUP(AN26,AN3:AT17,3,0),IF(AND(AH8=2),VLOOKUP(AN26,AN3:AT17,4,0),IF(AND(AH8=3),VLOOKUP(AN26,AN3:AT17,5,0),IF(AND(AH8=4),VLOOKUP(AN26,AN3:AT17,6,0),IF(AND(AH8=5),VLOOKUP(AN26,AN3:AT17,7,0))))))</f>
        <v>15280</v>
      </c>
      <c r="AQ26" s="153">
        <v>29.96</v>
      </c>
    </row>
    <row r="27" spans="1:43" ht="26.25" customHeight="1" thickBot="1">
      <c r="A27" s="109"/>
      <c r="B27" s="7" t="s">
        <v>594</v>
      </c>
      <c r="C27" s="498" t="s">
        <v>533</v>
      </c>
      <c r="D27" s="499"/>
      <c r="E27" s="499"/>
      <c r="F27" s="500"/>
      <c r="G27" s="558"/>
      <c r="H27" s="559"/>
      <c r="I27" s="346" t="s">
        <v>529</v>
      </c>
      <c r="J27" s="347"/>
      <c r="K27" s="347"/>
      <c r="L27" s="347"/>
      <c r="M27" s="348"/>
      <c r="N27" s="111" t="s">
        <v>302</v>
      </c>
      <c r="O27" s="7" t="s">
        <v>544</v>
      </c>
      <c r="P27" s="458">
        <v>0</v>
      </c>
      <c r="AA27" s="153">
        <v>2</v>
      </c>
      <c r="AB27" s="153" t="str">
        <f>VLOOKUP(AA27,AA28:AB30,2,0)</f>
        <v>ZP GPF</v>
      </c>
      <c r="AE27" s="155"/>
      <c r="AF27" s="155"/>
      <c r="AG27" s="156"/>
      <c r="AH27" s="157"/>
      <c r="AI27" s="158"/>
      <c r="AJ27" s="158"/>
      <c r="AK27" s="159"/>
      <c r="AL27" s="497"/>
      <c r="AN27" s="153">
        <v>3</v>
      </c>
      <c r="AO27" s="153" t="s">
        <v>537</v>
      </c>
      <c r="AP27" s="153">
        <f>IF(AND(AH8=1),VLOOKUP(AN27,AN3:AT17,3,0),IF(AND(AH8=2),VLOOKUP(AN27,AN3:AT17,4,0),IF(AND(AH8=3),VLOOKUP(AN27,AN3:AT17,5,0),IF(AND(AH8=4),VLOOKUP(AN27,AN3:AT17,6,0),IF(AND(AH8=5),VLOOKUP(AN27,AN3:AT17,7,0))))))</f>
        <v>15280</v>
      </c>
      <c r="AQ27" s="153">
        <v>29.96</v>
      </c>
    </row>
    <row r="28" spans="1:43" ht="26.25" customHeight="1" thickBot="1">
      <c r="A28" s="109"/>
      <c r="B28" s="7" t="s">
        <v>377</v>
      </c>
      <c r="C28" s="498"/>
      <c r="D28" s="499"/>
      <c r="E28" s="499"/>
      <c r="F28" s="500"/>
      <c r="G28" s="486" t="s">
        <v>595</v>
      </c>
      <c r="H28" s="488"/>
      <c r="I28" s="477" t="s">
        <v>597</v>
      </c>
      <c r="J28" s="548"/>
      <c r="K28" s="548"/>
      <c r="L28" s="548"/>
      <c r="M28" s="478"/>
      <c r="N28" s="111" t="s">
        <v>303</v>
      </c>
      <c r="O28" s="7" t="s">
        <v>545</v>
      </c>
      <c r="P28" s="458">
        <v>0</v>
      </c>
      <c r="AA28" s="154">
        <v>1</v>
      </c>
      <c r="AB28" s="153" t="s">
        <v>142</v>
      </c>
      <c r="AE28" s="155"/>
      <c r="AF28" s="155"/>
      <c r="AG28" s="156"/>
      <c r="AH28" s="157"/>
      <c r="AI28" s="158"/>
      <c r="AJ28" s="158"/>
      <c r="AK28" s="159"/>
      <c r="AL28" s="497"/>
      <c r="AN28" s="153">
        <v>4</v>
      </c>
      <c r="AO28" s="153" t="s">
        <v>538</v>
      </c>
      <c r="AP28" s="153">
        <f>IF(AND(AH8=1),VLOOKUP(AN28,AN3:AT17,3,0),IF(AND(AH8=2),VLOOKUP(AN28,AN3:AT17,4,0),IF(AND(AH8=3),VLOOKUP(AN28,AN3:AT17,5,0),IF(AND(AH8=4),VLOOKUP(AN28,AN3:AT17,6,0),IF(AND(AH8=5),VLOOKUP(AN28,AN3:AT17,7,0))))))</f>
        <v>15280</v>
      </c>
      <c r="AQ28" s="153">
        <v>29.96</v>
      </c>
    </row>
    <row r="29" spans="1:43" ht="26.25" customHeight="1" thickBot="1">
      <c r="A29" s="110"/>
      <c r="B29" s="337"/>
      <c r="C29" s="338"/>
      <c r="D29" s="338"/>
      <c r="E29" s="338"/>
      <c r="F29" s="339"/>
      <c r="G29" s="339"/>
      <c r="H29" s="339"/>
      <c r="I29" s="339"/>
      <c r="J29" s="339"/>
      <c r="K29" s="339"/>
      <c r="L29" s="339"/>
      <c r="M29" s="340"/>
      <c r="N29" s="112" t="s">
        <v>304</v>
      </c>
      <c r="O29" s="107" t="s">
        <v>546</v>
      </c>
      <c r="P29" s="456">
        <v>0</v>
      </c>
      <c r="AA29" s="206">
        <v>2</v>
      </c>
      <c r="AB29" s="204" t="s">
        <v>143</v>
      </c>
      <c r="AE29" s="155"/>
      <c r="AF29" s="205"/>
      <c r="AG29" s="155"/>
      <c r="AH29" s="155"/>
      <c r="AI29" s="155"/>
      <c r="AJ29" s="155"/>
      <c r="AK29" s="155"/>
      <c r="AL29" s="155"/>
      <c r="AN29" s="153">
        <v>5</v>
      </c>
      <c r="AO29" s="153" t="s">
        <v>539</v>
      </c>
      <c r="AP29" s="153">
        <f>IF(AND(AH8=1),VLOOKUP(AN29,AN3:AT17,3,0),IF(AND(AH8=2),VLOOKUP(AN29,AN3:AT17,4,0),IF(AND(AH8=3),VLOOKUP(AN29,AN3:AT17,5,0),IF(AND(AH8=4),VLOOKUP(AN29,AN3:AT17,6,0),IF(AND(AH8=5),VLOOKUP(AN29,AN3:AT17,7,0))))))</f>
        <v>15280</v>
      </c>
      <c r="AQ29" s="153">
        <v>29.96</v>
      </c>
    </row>
    <row r="30" spans="1:43" s="153" customFormat="1" ht="26.25" customHeight="1" hidden="1">
      <c r="A30" s="152"/>
      <c r="C30" s="154"/>
      <c r="D30" s="154"/>
      <c r="E30" s="154"/>
      <c r="F30" s="154"/>
      <c r="G30" s="154"/>
      <c r="H30" s="154"/>
      <c r="AA30" s="154">
        <v>3</v>
      </c>
      <c r="AB30" s="153" t="s">
        <v>144</v>
      </c>
      <c r="AE30" s="155"/>
      <c r="AF30" s="155"/>
      <c r="AG30" s="156"/>
      <c r="AH30" s="157"/>
      <c r="AI30" s="158"/>
      <c r="AJ30" s="158"/>
      <c r="AK30" s="159"/>
      <c r="AL30" s="497"/>
      <c r="AN30" s="153">
        <v>6</v>
      </c>
      <c r="AO30" s="153" t="s">
        <v>540</v>
      </c>
      <c r="AP30" s="153">
        <f>IF(AND(AH8=1),VLOOKUP(AN30,AN3:AT17,3,0),IF(AND(AH8=2),VLOOKUP(AN30,AN3:AT17,4,0),IF(AND(AH8=3),VLOOKUP(AN30,AN3:AT17,5,0),IF(AND(AH8=4),VLOOKUP(AN30,AN3:AT17,6,0),IF(AND(AH8=5),VLOOKUP(AN30,AN3:AT17,7,0))))))</f>
        <v>15700</v>
      </c>
      <c r="AQ30" s="153">
        <v>29.96</v>
      </c>
    </row>
    <row r="31" spans="1:43" s="153" customFormat="1" ht="26.25" customHeight="1" hidden="1">
      <c r="A31" s="152"/>
      <c r="C31" s="154"/>
      <c r="D31" s="154"/>
      <c r="E31" s="154"/>
      <c r="F31" s="154"/>
      <c r="G31" s="154"/>
      <c r="H31" s="154"/>
      <c r="AE31" s="155"/>
      <c r="AF31" s="155"/>
      <c r="AG31" s="156"/>
      <c r="AH31" s="157"/>
      <c r="AI31" s="158"/>
      <c r="AJ31" s="158"/>
      <c r="AK31" s="159"/>
      <c r="AL31" s="497"/>
      <c r="AN31" s="153">
        <v>7</v>
      </c>
      <c r="AO31" s="153" t="s">
        <v>541</v>
      </c>
      <c r="AP31" s="153">
        <f>IF(AND(AH8=1),VLOOKUP(AN31,AN3:AT17,3,0),IF(AND(AH8=2),VLOOKUP(AN31,AN3:AT17,4,0),IF(AND(AH8=3),VLOOKUP(AN31,AN3:AT17,5,0),IF(AND(AH8=4),VLOOKUP(AN31,AN3:AT17,6,0),IF(AND(AH8=5),VLOOKUP(AN31,AN3:AT17,7,0))))))</f>
        <v>15700</v>
      </c>
      <c r="AQ31" s="153">
        <v>29.96</v>
      </c>
    </row>
    <row r="32" spans="1:43" s="153" customFormat="1" ht="26.25" customHeight="1" hidden="1">
      <c r="A32" s="152"/>
      <c r="C32" s="154"/>
      <c r="D32" s="154"/>
      <c r="E32" s="154"/>
      <c r="F32" s="154"/>
      <c r="G32" s="154"/>
      <c r="H32" s="154"/>
      <c r="AC32" s="153">
        <v>1</v>
      </c>
      <c r="AE32" s="155"/>
      <c r="AF32" s="155"/>
      <c r="AG32" s="156"/>
      <c r="AH32" s="157"/>
      <c r="AI32" s="158"/>
      <c r="AJ32" s="158"/>
      <c r="AK32" s="159"/>
      <c r="AL32" s="497"/>
      <c r="AN32" s="153">
        <v>8</v>
      </c>
      <c r="AO32" s="153" t="s">
        <v>542</v>
      </c>
      <c r="AP32" s="153">
        <f>IF(AND(AH8=1),VLOOKUP(AN32,AN3:AT17,3,0),IF(AND(AH8=2),VLOOKUP(AN32,AN3:AT17,4,0),IF(AND(AH8=3),VLOOKUP(AN32,AN3:AT17,5,0),IF(AND(AH8=4),VLOOKUP(AN32,AN3:AT17,6,0),IF(AND(AH8=5),VLOOKUP(AN32,AN3:AT17,7,0))))))</f>
        <v>15700</v>
      </c>
      <c r="AQ32" s="153">
        <v>29.96</v>
      </c>
    </row>
    <row r="33" spans="1:43" s="153" customFormat="1" ht="26.25" customHeight="1" hidden="1">
      <c r="A33" s="152"/>
      <c r="C33" s="154"/>
      <c r="D33" s="154"/>
      <c r="E33" s="154"/>
      <c r="F33" s="154"/>
      <c r="G33" s="154"/>
      <c r="H33" s="154"/>
      <c r="AC33" s="153">
        <f>VLOOKUP(AC32,AA34:AC37,3,0)</f>
        <v>0</v>
      </c>
      <c r="AE33" s="155"/>
      <c r="AF33" s="155"/>
      <c r="AG33" s="155"/>
      <c r="AH33" s="155"/>
      <c r="AI33" s="155"/>
      <c r="AJ33" s="155"/>
      <c r="AK33" s="155"/>
      <c r="AL33" s="155"/>
      <c r="AN33" s="153">
        <v>9</v>
      </c>
      <c r="AO33" s="153" t="s">
        <v>543</v>
      </c>
      <c r="AP33" s="153">
        <f>IF(AND(AH8=1),VLOOKUP(AN33,AN3:AT17,3,0),IF(AND(AH8=2),VLOOKUP(AN33,AN3:AT17,4,0),IF(AND(AH8=3),VLOOKUP(AN33,AN3:AT17,5,0),IF(AND(AH8=4),VLOOKUP(AN33,AN3:AT17,6,0),IF(AND(AH8=5),VLOOKUP(AN33,AN3:AT17,7,0))))))</f>
        <v>15700</v>
      </c>
      <c r="AQ33" s="153">
        <v>29.96</v>
      </c>
    </row>
    <row r="34" spans="1:43" s="153" customFormat="1" ht="26.25" customHeight="1" hidden="1">
      <c r="A34" s="152"/>
      <c r="C34" s="154"/>
      <c r="D34" s="154"/>
      <c r="E34" s="154"/>
      <c r="N34" s="160" t="s">
        <v>0</v>
      </c>
      <c r="O34" s="160" t="s">
        <v>1</v>
      </c>
      <c r="P34" s="160"/>
      <c r="Q34" s="160" t="s">
        <v>19</v>
      </c>
      <c r="R34" s="160" t="s">
        <v>200</v>
      </c>
      <c r="S34" s="160" t="s">
        <v>20</v>
      </c>
      <c r="T34" s="160" t="s">
        <v>21</v>
      </c>
      <c r="U34" s="160" t="s">
        <v>22</v>
      </c>
      <c r="V34" s="160" t="s">
        <v>14</v>
      </c>
      <c r="W34" s="160"/>
      <c r="AA34" s="153">
        <v>1</v>
      </c>
      <c r="AB34" s="153" t="s">
        <v>159</v>
      </c>
      <c r="AC34" s="153">
        <v>0</v>
      </c>
      <c r="AE34" s="155"/>
      <c r="AF34" s="155"/>
      <c r="AG34" s="156"/>
      <c r="AH34" s="157"/>
      <c r="AI34" s="158"/>
      <c r="AJ34" s="158"/>
      <c r="AK34" s="159"/>
      <c r="AL34" s="497"/>
      <c r="AN34" s="153">
        <v>10</v>
      </c>
      <c r="AO34" s="153" t="s">
        <v>544</v>
      </c>
      <c r="AP34" s="153">
        <f>IF(AND(AH8=1),VLOOKUP(AN34,AN3:AT17,3,0),IF(AND(AH8=2),VLOOKUP(AN34,AN3:AT17,4,0),IF(AND(AH8=3),VLOOKUP(AN34,AN3:AT17,5,0),IF(AND(AH8=4),VLOOKUP(AN34,AN3:AT17,6,0),IF(AND(AH8=5),VLOOKUP(AN34,AN3:AT17,7,0))))))</f>
        <v>15700</v>
      </c>
      <c r="AQ34" s="153">
        <f>IF(C35=1,35.952,29.96)</f>
        <v>29.96</v>
      </c>
    </row>
    <row r="35" spans="1:43" s="153" customFormat="1" ht="26.25" customHeight="1" hidden="1">
      <c r="A35" s="152"/>
      <c r="C35" s="154">
        <v>2</v>
      </c>
      <c r="D35" s="154"/>
      <c r="E35" s="154"/>
      <c r="N35" s="161">
        <v>2</v>
      </c>
      <c r="O35" s="162" t="str">
        <f>IF(N34=2,"","March,11")</f>
        <v>March,11</v>
      </c>
      <c r="P35" s="163">
        <f>Q35</f>
        <v>20</v>
      </c>
      <c r="Q35" s="163">
        <f>IF(AND(T116=1),U109,IF(AND(T116&lt;=N35-1),U117,U109))</f>
        <v>20</v>
      </c>
      <c r="R35" s="163">
        <f>IF(AND(AA49=1),C9,IF(AND(AA49&lt;=N35-1),L9,C9))</f>
        <v>220</v>
      </c>
      <c r="S35" s="163">
        <f>IF(AND(AA47=1),C15,IF(AND(AA47&lt;=N35-1),O15,C15))</f>
        <v>1500</v>
      </c>
      <c r="T35" s="163">
        <f>IF(AND(AA48=1),G16,IF(AND(AA48&lt;=N35-1),P16,G16))</f>
        <v>450</v>
      </c>
      <c r="U35" s="162">
        <v>60</v>
      </c>
      <c r="V35" s="162">
        <v>1111</v>
      </c>
      <c r="W35" s="162"/>
      <c r="AA35" s="153">
        <v>2</v>
      </c>
      <c r="AB35" s="153" t="s">
        <v>537</v>
      </c>
      <c r="AC35" s="153">
        <v>50</v>
      </c>
      <c r="AE35" s="155"/>
      <c r="AF35" s="155"/>
      <c r="AG35" s="156"/>
      <c r="AH35" s="157"/>
      <c r="AI35" s="158"/>
      <c r="AJ35" s="158"/>
      <c r="AK35" s="159"/>
      <c r="AL35" s="497"/>
      <c r="AN35" s="153">
        <v>11</v>
      </c>
      <c r="AO35" s="153" t="s">
        <v>545</v>
      </c>
      <c r="AP35" s="153">
        <f>IF(AND(AH8=1),VLOOKUP(AN35,AN3:AT17,3,0),IF(AND(AH8=2),VLOOKUP(AN35,AN3:AT17,4,0),IF(AND(AH8=3),VLOOKUP(AN35,AN3:AT17,5,0),IF(AND(AH8=4),VLOOKUP(AN35,AN3:AT17,6,0),IF(AND(AH8=5),VLOOKUP(AN35,AN3:AT17,7,0))))))</f>
        <v>15700</v>
      </c>
      <c r="AQ35" s="153">
        <f>IF(C35=1,35.952,29.96)</f>
        <v>29.96</v>
      </c>
    </row>
    <row r="36" spans="1:43" ht="26.25" customHeight="1" hidden="1">
      <c r="A36" s="152"/>
      <c r="B36" s="153"/>
      <c r="C36" s="154"/>
      <c r="D36" s="154"/>
      <c r="E36" s="154"/>
      <c r="F36" s="153"/>
      <c r="G36" s="153"/>
      <c r="H36" s="153"/>
      <c r="I36" s="153"/>
      <c r="J36" s="153"/>
      <c r="K36" s="153"/>
      <c r="L36" s="153"/>
      <c r="M36" s="153"/>
      <c r="N36" s="161">
        <v>3</v>
      </c>
      <c r="O36" s="162" t="str">
        <f>IF(N34=2,"","April,11")</f>
        <v>April,11</v>
      </c>
      <c r="P36" s="163">
        <f aca="true" t="shared" si="0" ref="P36:P46">IF(Q36=10,12,IF(Q36=12.5,14.5,Q36))</f>
        <v>20</v>
      </c>
      <c r="Q36" s="163">
        <f>IF(AND(T116=1),U109,IF(AND(T116&lt;=N36-1),U117,U109))</f>
        <v>20</v>
      </c>
      <c r="R36" s="163">
        <f>IF(AND(AA49=1),C9,IF(AND(AA49&lt;=N36-1),L9,C9))</f>
        <v>220</v>
      </c>
      <c r="S36" s="163">
        <f>IF(AND(AA47=1),C15,IF(AND(AA47&lt;=N36-1),O15,C15))</f>
        <v>1500</v>
      </c>
      <c r="T36" s="163">
        <f>IF(AND(AA48=1),G16,IF(AND(AA48&lt;=N36-1),P16,G16))</f>
        <v>450</v>
      </c>
      <c r="U36" s="163">
        <f aca="true" t="shared" si="1" ref="U36:U46">U35</f>
        <v>60</v>
      </c>
      <c r="V36" s="163">
        <f aca="true" t="shared" si="2" ref="V36:V46">V35</f>
        <v>1111</v>
      </c>
      <c r="W36" s="163">
        <f aca="true" t="shared" si="3" ref="W36:W46">W35</f>
        <v>0</v>
      </c>
      <c r="AA36" s="153">
        <v>3</v>
      </c>
      <c r="AB36" s="153" t="s">
        <v>538</v>
      </c>
      <c r="AC36" s="153">
        <v>75</v>
      </c>
      <c r="AE36" s="155"/>
      <c r="AF36" s="155"/>
      <c r="AG36" s="156"/>
      <c r="AH36" s="157"/>
      <c r="AI36" s="158"/>
      <c r="AJ36" s="158"/>
      <c r="AK36" s="159"/>
      <c r="AL36" s="497"/>
      <c r="AN36" s="153">
        <v>12</v>
      </c>
      <c r="AO36" s="153" t="s">
        <v>546</v>
      </c>
      <c r="AP36" s="153">
        <f>IF(AND(AH8=1),VLOOKUP(AN36,AN3:AT17,3,0),IF(AND(AH8=2),VLOOKUP(AN36,AN3:AT17,4,0),IF(AND(AH8=3),VLOOKUP(AN36,AN3:AT17,5,0),IF(AND(AH8=4),VLOOKUP(AN36,AN3:AT17,6,0),IF(AND(AH8=5),VLOOKUP(AN36,AN3:AT17,7,0))))))</f>
        <v>15700</v>
      </c>
      <c r="AQ36" s="153">
        <f>IF(C35=1,35.952,29.96)</f>
        <v>29.96</v>
      </c>
    </row>
    <row r="37" spans="1:43" ht="26.25" customHeight="1" hidden="1">
      <c r="A37" s="152"/>
      <c r="B37" s="153"/>
      <c r="C37" s="154"/>
      <c r="D37" s="154"/>
      <c r="E37" s="154"/>
      <c r="F37" s="153"/>
      <c r="G37" s="153"/>
      <c r="H37" s="153"/>
      <c r="I37" s="153"/>
      <c r="J37" s="153"/>
      <c r="K37" s="153"/>
      <c r="L37" s="153"/>
      <c r="M37" s="153"/>
      <c r="N37" s="161">
        <v>4</v>
      </c>
      <c r="O37" s="162" t="str">
        <f>IF(N34=2,"","May,11")</f>
        <v>May,11</v>
      </c>
      <c r="P37" s="163">
        <f t="shared" si="0"/>
        <v>20</v>
      </c>
      <c r="Q37" s="163">
        <f>IF(AND(T116=1),U109,IF(AND(T116&lt;=N37-1),U117,U109))</f>
        <v>20</v>
      </c>
      <c r="R37" s="163">
        <f>IF(AND(AA49=1),C9,IF(AND(AA49&lt;=N37-1),L9,C9))</f>
        <v>220</v>
      </c>
      <c r="S37" s="163">
        <f>IF(AND(AA47=1),C15,IF(AND(AA47&lt;=N37-1),O15,C15))</f>
        <v>1500</v>
      </c>
      <c r="T37" s="163">
        <f>IF(AND(AA48=1),G16,IF(AND(AA48&lt;=N37-1),P16,G16))</f>
        <v>450</v>
      </c>
      <c r="U37" s="163">
        <f t="shared" si="1"/>
        <v>60</v>
      </c>
      <c r="V37" s="163">
        <f t="shared" si="2"/>
        <v>1111</v>
      </c>
      <c r="W37" s="163">
        <f t="shared" si="3"/>
        <v>0</v>
      </c>
      <c r="AA37" s="153">
        <v>4</v>
      </c>
      <c r="AB37" s="153" t="s">
        <v>539</v>
      </c>
      <c r="AC37" s="153">
        <v>100</v>
      </c>
      <c r="AE37" s="155"/>
      <c r="AF37" s="155"/>
      <c r="AG37" s="156"/>
      <c r="AH37" s="157"/>
      <c r="AI37" s="158"/>
      <c r="AJ37" s="158"/>
      <c r="AK37" s="159"/>
      <c r="AL37" s="497"/>
      <c r="AN37" s="153">
        <v>13</v>
      </c>
      <c r="AO37" s="153" t="s">
        <v>547</v>
      </c>
      <c r="AP37" s="153">
        <f>IF(AND(AH8=1),VLOOKUP(AN37,AN3:AT17,3,0),IF(AND(AH8=2),VLOOKUP(AN37,AN3:AT17,4,0),IF(AND(AH8=3),VLOOKUP(AN37,AN3:AT17,5,0),IF(AND(AH8=4),VLOOKUP(AN37,AN3:AT17,6,0),IF(AND(AH8=5),VLOOKUP(AN37,AN3:AT17,7,0))))))</f>
        <v>15700</v>
      </c>
      <c r="AQ37" s="153">
        <f>IF(C35=1,35.952,29.96)</f>
        <v>29.96</v>
      </c>
    </row>
    <row r="38" spans="1:38" ht="26.25" customHeight="1" hidden="1">
      <c r="A38" s="152"/>
      <c r="B38" s="153"/>
      <c r="C38" s="154"/>
      <c r="D38" s="154"/>
      <c r="E38" s="154"/>
      <c r="F38" s="153"/>
      <c r="G38" s="153"/>
      <c r="H38" s="153"/>
      <c r="I38" s="153"/>
      <c r="J38" s="153"/>
      <c r="K38" s="153"/>
      <c r="L38" s="153"/>
      <c r="M38" s="153"/>
      <c r="N38" s="161">
        <v>5</v>
      </c>
      <c r="O38" s="162" t="str">
        <f>IF(N34=2,"","June,11")</f>
        <v>June,11</v>
      </c>
      <c r="P38" s="163">
        <f t="shared" si="0"/>
        <v>20</v>
      </c>
      <c r="Q38" s="163">
        <f>IF(AND(T116=1),U109,IF(AND(T116&lt;=N38-1),U117,U109))</f>
        <v>20</v>
      </c>
      <c r="R38" s="163">
        <f>IF(AND(AA49=1),C9,IF(AND(AA49&lt;=N38-1),L9,C9))</f>
        <v>220</v>
      </c>
      <c r="S38" s="163">
        <f>IF(AND(AA47=1),C15,IF(AND(AA47&lt;=N38-1),O15,C15))</f>
        <v>1500</v>
      </c>
      <c r="T38" s="163">
        <f>IF(AND(AA48=1),G16,IF(AND(AA48&lt;=N38-1),P16,G16))</f>
        <v>450</v>
      </c>
      <c r="U38" s="163">
        <f t="shared" si="1"/>
        <v>60</v>
      </c>
      <c r="V38" s="163">
        <f t="shared" si="2"/>
        <v>1111</v>
      </c>
      <c r="W38" s="163">
        <f t="shared" si="3"/>
        <v>0</v>
      </c>
      <c r="X38" s="155"/>
      <c r="Y38" s="155"/>
      <c r="AA38" s="153">
        <v>5</v>
      </c>
      <c r="AB38" s="153" t="s">
        <v>540</v>
      </c>
      <c r="AE38" s="155"/>
      <c r="AF38" s="155"/>
      <c r="AG38" s="156"/>
      <c r="AH38" s="157"/>
      <c r="AI38" s="158"/>
      <c r="AJ38" s="158"/>
      <c r="AK38" s="159"/>
      <c r="AL38" s="497"/>
    </row>
    <row r="39" spans="1:38" ht="26.25" customHeight="1" hidden="1">
      <c r="A39" s="152"/>
      <c r="B39" s="153"/>
      <c r="C39" s="154"/>
      <c r="D39" s="154"/>
      <c r="E39" s="154"/>
      <c r="F39" s="153"/>
      <c r="G39" s="153"/>
      <c r="H39" s="153"/>
      <c r="I39" s="153"/>
      <c r="J39" s="153"/>
      <c r="K39" s="153"/>
      <c r="L39" s="153"/>
      <c r="M39" s="153"/>
      <c r="N39" s="161">
        <v>6</v>
      </c>
      <c r="O39" s="162" t="str">
        <f>IF(N34=2,"","July,11")</f>
        <v>July,11</v>
      </c>
      <c r="P39" s="163">
        <f t="shared" si="0"/>
        <v>20</v>
      </c>
      <c r="Q39" s="163">
        <f>IF(AND(T116=1),U109,IF(AND(T116&lt;=N39-1),U117,U109))</f>
        <v>20</v>
      </c>
      <c r="R39" s="163">
        <f>IF(AND(AA49=1),C9,IF(AND(AA49&lt;=N39-1),L9,C9))</f>
        <v>220</v>
      </c>
      <c r="S39" s="163">
        <f>IF(AND(AA47=1),C15,IF(AND(AA47&lt;=N39-1),O15,C15))</f>
        <v>1500</v>
      </c>
      <c r="T39" s="163">
        <f>IF(AND(AA48=1),G16,IF(AND(AA48&lt;=N39-1),P16,G16))</f>
        <v>450</v>
      </c>
      <c r="U39" s="163">
        <f t="shared" si="1"/>
        <v>60</v>
      </c>
      <c r="V39" s="163">
        <f t="shared" si="2"/>
        <v>1111</v>
      </c>
      <c r="W39" s="163">
        <f t="shared" si="3"/>
        <v>0</v>
      </c>
      <c r="X39" s="155"/>
      <c r="Y39" s="155"/>
      <c r="AA39" s="153">
        <v>6</v>
      </c>
      <c r="AB39" s="153" t="s">
        <v>541</v>
      </c>
      <c r="AE39" s="155"/>
      <c r="AF39" s="155"/>
      <c r="AG39" s="155"/>
      <c r="AH39" s="155"/>
      <c r="AI39" s="155"/>
      <c r="AJ39" s="155"/>
      <c r="AK39" s="155"/>
      <c r="AL39" s="155"/>
    </row>
    <row r="40" spans="1:38" ht="26.25" customHeight="1" hidden="1">
      <c r="A40" s="152"/>
      <c r="B40" s="153"/>
      <c r="C40" s="154"/>
      <c r="D40" s="154"/>
      <c r="E40" s="154"/>
      <c r="F40" s="153"/>
      <c r="G40" s="153"/>
      <c r="H40" s="153"/>
      <c r="I40" s="153"/>
      <c r="J40" s="153"/>
      <c r="K40" s="153"/>
      <c r="L40" s="153"/>
      <c r="M40" s="153"/>
      <c r="N40" s="161">
        <v>7</v>
      </c>
      <c r="O40" s="162" t="str">
        <f>IF(N34=2,"","Aug,11")</f>
        <v>Aug,11</v>
      </c>
      <c r="P40" s="163">
        <f t="shared" si="0"/>
        <v>20</v>
      </c>
      <c r="Q40" s="163">
        <f>IF(AND(T116=1),U109,IF(AND(T116&lt;=N40-1),U117,U109))</f>
        <v>20</v>
      </c>
      <c r="R40" s="163">
        <f>IF(AND(AA49=1),C9,IF(AND(AA49&lt;=N40-1),L9,C9))</f>
        <v>220</v>
      </c>
      <c r="S40" s="163">
        <f>IF(AND(AA47=1),C15,IF(AND(AA47&lt;=N40-1),O15,C15))</f>
        <v>1500</v>
      </c>
      <c r="T40" s="163">
        <f>IF(AND(AA48=1),G16,IF(AND(AA48&lt;=N40-1),P16,G16))</f>
        <v>450</v>
      </c>
      <c r="U40" s="163">
        <f t="shared" si="1"/>
        <v>60</v>
      </c>
      <c r="V40" s="163">
        <f t="shared" si="2"/>
        <v>1111</v>
      </c>
      <c r="W40" s="163">
        <f t="shared" si="3"/>
        <v>0</v>
      </c>
      <c r="X40" s="155"/>
      <c r="Y40" s="155"/>
      <c r="AA40" s="153">
        <v>7</v>
      </c>
      <c r="AB40" s="153" t="s">
        <v>542</v>
      </c>
      <c r="AE40" s="155"/>
      <c r="AF40" s="164"/>
      <c r="AG40" s="155"/>
      <c r="AH40" s="155"/>
      <c r="AI40" s="155"/>
      <c r="AJ40" s="155"/>
      <c r="AK40" s="155"/>
      <c r="AL40" s="155"/>
    </row>
    <row r="41" spans="1:38" ht="26.25" customHeight="1" hidden="1">
      <c r="A41" s="152"/>
      <c r="B41" s="153"/>
      <c r="C41" s="154"/>
      <c r="D41" s="154"/>
      <c r="E41" s="154"/>
      <c r="F41" s="153"/>
      <c r="G41" s="153"/>
      <c r="H41" s="153"/>
      <c r="I41" s="153"/>
      <c r="J41" s="153"/>
      <c r="K41" s="153"/>
      <c r="L41" s="153"/>
      <c r="M41" s="153"/>
      <c r="N41" s="161">
        <v>8</v>
      </c>
      <c r="O41" s="162" t="str">
        <f>IF(N34=2,"","Sept,11")</f>
        <v>Sept,11</v>
      </c>
      <c r="P41" s="163">
        <f t="shared" si="0"/>
        <v>20</v>
      </c>
      <c r="Q41" s="163">
        <f>IF(AND(T116=1),U109,IF(AND(T116&lt;=N41-1),U117,U109))</f>
        <v>20</v>
      </c>
      <c r="R41" s="163">
        <f>IF(AND(AA49=1),C9,IF(AND(AA49&lt;=N41-1),L9,C9))</f>
        <v>220</v>
      </c>
      <c r="S41" s="163">
        <f>IF(AND(AA47=1),C15,IF(AND(AA47&lt;=N41-1),O15,C15))</f>
        <v>1500</v>
      </c>
      <c r="T41" s="163">
        <f>IF(AND(AA48=1),G16,IF(AND(AA48&lt;=N41-1),P16,G16))</f>
        <v>450</v>
      </c>
      <c r="U41" s="163">
        <f t="shared" si="1"/>
        <v>60</v>
      </c>
      <c r="V41" s="163">
        <f t="shared" si="2"/>
        <v>1111</v>
      </c>
      <c r="W41" s="163">
        <f t="shared" si="3"/>
        <v>0</v>
      </c>
      <c r="X41" s="155"/>
      <c r="Y41" s="155"/>
      <c r="AA41" s="153">
        <v>8</v>
      </c>
      <c r="AB41" s="153" t="s">
        <v>543</v>
      </c>
      <c r="AE41" s="155"/>
      <c r="AF41" s="155"/>
      <c r="AG41" s="155"/>
      <c r="AH41" s="155"/>
      <c r="AI41" s="155"/>
      <c r="AJ41" s="155"/>
      <c r="AK41" s="155"/>
      <c r="AL41" s="155"/>
    </row>
    <row r="42" spans="1:38" ht="26.25" customHeight="1" hidden="1">
      <c r="A42" s="152"/>
      <c r="B42" s="153"/>
      <c r="C42" s="154"/>
      <c r="D42" s="154"/>
      <c r="E42" s="154"/>
      <c r="F42" s="153"/>
      <c r="G42" s="153"/>
      <c r="H42" s="153"/>
      <c r="I42" s="153"/>
      <c r="J42" s="153"/>
      <c r="K42" s="153"/>
      <c r="L42" s="153"/>
      <c r="M42" s="153"/>
      <c r="N42" s="161">
        <v>9</v>
      </c>
      <c r="O42" s="162" t="str">
        <f>IF(N34=2,"","Oct,11")</f>
        <v>Oct,11</v>
      </c>
      <c r="P42" s="163">
        <f t="shared" si="0"/>
        <v>20</v>
      </c>
      <c r="Q42" s="163">
        <f>IF(AND(T116=1),U109,IF(AND(T116&lt;=N42-1),U117,U109))</f>
        <v>20</v>
      </c>
      <c r="R42" s="163">
        <f>IF(AND(AA49=1),C9,IF(AND(AA49&lt;=N42-1),L9,C9))</f>
        <v>220</v>
      </c>
      <c r="S42" s="163">
        <f>IF(AND(AA47=1),C15,IF(AND(AA47&lt;=N42-1),O15,C15))</f>
        <v>1500</v>
      </c>
      <c r="T42" s="163">
        <f>IF(AND(AA48=1),G16,IF(AND(AA48&lt;=N42-1),P16,G16))</f>
        <v>600</v>
      </c>
      <c r="U42" s="163">
        <f t="shared" si="1"/>
        <v>60</v>
      </c>
      <c r="V42" s="163">
        <f t="shared" si="2"/>
        <v>1111</v>
      </c>
      <c r="W42" s="163">
        <f t="shared" si="3"/>
        <v>0</v>
      </c>
      <c r="X42" s="155"/>
      <c r="Y42" s="155"/>
      <c r="AA42" s="153">
        <v>9</v>
      </c>
      <c r="AB42" s="153" t="s">
        <v>544</v>
      </c>
      <c r="AE42" s="155"/>
      <c r="AF42" s="165"/>
      <c r="AG42" s="155"/>
      <c r="AH42" s="155"/>
      <c r="AI42" s="155"/>
      <c r="AJ42" s="155"/>
      <c r="AK42" s="155"/>
      <c r="AL42" s="155"/>
    </row>
    <row r="43" spans="1:38" ht="26.25" customHeight="1" hidden="1">
      <c r="A43" s="152"/>
      <c r="B43" s="153"/>
      <c r="C43" s="154"/>
      <c r="D43" s="154"/>
      <c r="E43" s="154"/>
      <c r="F43" s="153"/>
      <c r="G43" s="153"/>
      <c r="H43" s="153"/>
      <c r="I43" s="153"/>
      <c r="J43" s="153"/>
      <c r="K43" s="153"/>
      <c r="L43" s="153"/>
      <c r="M43" s="153"/>
      <c r="N43" s="161">
        <v>10</v>
      </c>
      <c r="O43" s="162" t="str">
        <f>IF(N34=2,"","Nov,11")</f>
        <v>Nov,11</v>
      </c>
      <c r="P43" s="163">
        <f t="shared" si="0"/>
        <v>20</v>
      </c>
      <c r="Q43" s="163">
        <f>IF(AND(T116=1),U109,IF(AND(T116&lt;=N43-1),U117,U109))</f>
        <v>20</v>
      </c>
      <c r="R43" s="163">
        <f>IF(AND(AA49=1),C9,IF(AND(AA49&lt;=N43-1),L9,C9))</f>
        <v>220</v>
      </c>
      <c r="S43" s="163">
        <f>IF(AND(AA47=1),C15,IF(AND(AA47&lt;=N43-1),O15,C15))</f>
        <v>1500</v>
      </c>
      <c r="T43" s="163">
        <f>IF(AND(AA48=1),G16,IF(AND(AA48&lt;=N43-1),P16,G16))</f>
        <v>600</v>
      </c>
      <c r="U43" s="163">
        <f t="shared" si="1"/>
        <v>60</v>
      </c>
      <c r="V43" s="163">
        <f t="shared" si="2"/>
        <v>1111</v>
      </c>
      <c r="W43" s="163">
        <f t="shared" si="3"/>
        <v>0</v>
      </c>
      <c r="X43" s="155"/>
      <c r="Y43" s="155"/>
      <c r="AA43" s="153">
        <v>10</v>
      </c>
      <c r="AB43" s="153" t="s">
        <v>545</v>
      </c>
      <c r="AE43" s="155"/>
      <c r="AF43" s="155"/>
      <c r="AG43" s="155"/>
      <c r="AH43" s="155"/>
      <c r="AI43" s="155"/>
      <c r="AJ43" s="155"/>
      <c r="AK43" s="155"/>
      <c r="AL43" s="155"/>
    </row>
    <row r="44" spans="1:38" ht="26.25" customHeight="1" hidden="1">
      <c r="A44" s="152"/>
      <c r="B44" s="153"/>
      <c r="C44" s="154"/>
      <c r="D44" s="154"/>
      <c r="E44" s="154"/>
      <c r="F44" s="153"/>
      <c r="G44" s="153"/>
      <c r="H44" s="153"/>
      <c r="I44" s="153"/>
      <c r="J44" s="153"/>
      <c r="K44" s="153"/>
      <c r="L44" s="153"/>
      <c r="M44" s="153"/>
      <c r="N44" s="161">
        <v>11</v>
      </c>
      <c r="O44" s="162" t="str">
        <f>IF(N34=2,"","Dec,11")</f>
        <v>Dec,11</v>
      </c>
      <c r="P44" s="163">
        <f t="shared" si="0"/>
        <v>20</v>
      </c>
      <c r="Q44" s="163">
        <f>IF(AND(T116=1),U109,IF(AND(T116&lt;=N44-1),U117,U109))</f>
        <v>20</v>
      </c>
      <c r="R44" s="163">
        <f>IF(AND(AA49=1),C9,IF(AND(AA49&lt;=N44-1),L9,C9))</f>
        <v>220</v>
      </c>
      <c r="S44" s="163">
        <f>IF(AND(AA47=1),C15,IF(AND(AA47&lt;=N44-1),O15,C15))</f>
        <v>1500</v>
      </c>
      <c r="T44" s="163">
        <f>IF(AND(AA48=1),G16,IF(AND(AA48&lt;=N44-1),P16,G16))</f>
        <v>600</v>
      </c>
      <c r="U44" s="163">
        <f t="shared" si="1"/>
        <v>60</v>
      </c>
      <c r="V44" s="163">
        <f t="shared" si="2"/>
        <v>1111</v>
      </c>
      <c r="W44" s="163">
        <f t="shared" si="3"/>
        <v>0</v>
      </c>
      <c r="X44" s="155"/>
      <c r="Y44" s="155"/>
      <c r="AA44" s="153">
        <v>11</v>
      </c>
      <c r="AB44" s="153" t="s">
        <v>546</v>
      </c>
      <c r="AE44" s="155"/>
      <c r="AF44" s="155"/>
      <c r="AG44" s="155"/>
      <c r="AH44" s="155"/>
      <c r="AI44" s="155"/>
      <c r="AJ44" s="155"/>
      <c r="AK44" s="155"/>
      <c r="AL44" s="155"/>
    </row>
    <row r="45" spans="1:38" ht="26.25" customHeight="1" hidden="1">
      <c r="A45" s="152"/>
      <c r="B45" s="153"/>
      <c r="C45" s="154"/>
      <c r="D45" s="154"/>
      <c r="E45" s="154"/>
      <c r="F45" s="153"/>
      <c r="G45" s="153"/>
      <c r="H45" s="153"/>
      <c r="I45" s="153"/>
      <c r="J45" s="153"/>
      <c r="K45" s="153"/>
      <c r="L45" s="153"/>
      <c r="M45" s="153"/>
      <c r="N45" s="161">
        <v>12</v>
      </c>
      <c r="O45" s="162" t="str">
        <f>IF(N34=2,"","Jan,12")</f>
        <v>Jan,12</v>
      </c>
      <c r="P45" s="163">
        <f t="shared" si="0"/>
        <v>20</v>
      </c>
      <c r="Q45" s="163">
        <f>IF(AND(T116=1),U109,IF(AND(T116&lt;=N45-1),U117,U109))</f>
        <v>20</v>
      </c>
      <c r="R45" s="163">
        <f>IF(AND(AA49=1),C9,IF(AND(AA49&lt;=N45-1),L9,C9))</f>
        <v>220</v>
      </c>
      <c r="S45" s="163">
        <f>IF(AND(AA47=1),C15,IF(AND(AA47&lt;=N45-1),O15,C15))</f>
        <v>1500</v>
      </c>
      <c r="T45" s="163">
        <f>IF(AND(AA48=1),G16,IF(AND(AA48&lt;=N45-1),P16,G16))</f>
        <v>600</v>
      </c>
      <c r="U45" s="163">
        <f t="shared" si="1"/>
        <v>60</v>
      </c>
      <c r="V45" s="163">
        <f t="shared" si="2"/>
        <v>1111</v>
      </c>
      <c r="W45" s="163">
        <f t="shared" si="3"/>
        <v>0</v>
      </c>
      <c r="X45" s="155"/>
      <c r="Y45" s="155"/>
      <c r="AA45" s="153">
        <v>12</v>
      </c>
      <c r="AB45" s="153" t="s">
        <v>547</v>
      </c>
      <c r="AE45" s="155"/>
      <c r="AF45" s="155"/>
      <c r="AG45" s="155"/>
      <c r="AH45" s="155"/>
      <c r="AI45" s="155"/>
      <c r="AJ45" s="155"/>
      <c r="AK45" s="155"/>
      <c r="AL45" s="155"/>
    </row>
    <row r="46" spans="1:38" ht="26.25" customHeight="1" hidden="1" thickBot="1">
      <c r="A46" s="152"/>
      <c r="B46" s="153"/>
      <c r="C46" s="154"/>
      <c r="D46" s="154"/>
      <c r="E46" s="154"/>
      <c r="F46" s="153"/>
      <c r="G46" s="153"/>
      <c r="H46" s="153"/>
      <c r="I46" s="153"/>
      <c r="J46" s="153"/>
      <c r="K46" s="153"/>
      <c r="L46" s="153"/>
      <c r="M46" s="153"/>
      <c r="N46" s="161">
        <v>13</v>
      </c>
      <c r="O46" s="162" t="str">
        <f>IF(N34=2,"","Feb,12")</f>
        <v>Feb,12</v>
      </c>
      <c r="P46" s="163">
        <f t="shared" si="0"/>
        <v>20</v>
      </c>
      <c r="Q46" s="163">
        <f>IF(AND(T116=1),U109,IF(AND(T116&lt;=N46-1),U117,U109))</f>
        <v>20</v>
      </c>
      <c r="R46" s="163">
        <f>IF(AND(AA49=1),C9,IF(AND(AA49&lt;=N46-1),L9,C9))</f>
        <v>220</v>
      </c>
      <c r="S46" s="163">
        <f>IF(AND(AA47=1),C15,IF(AND(AA47&lt;=N46-1),O15,C15))</f>
        <v>1500</v>
      </c>
      <c r="T46" s="163">
        <f>IF(AND(AA48=1),G16,IF(AND(AA48&lt;=N46-1),P16,G16))</f>
        <v>600</v>
      </c>
      <c r="U46" s="163">
        <f t="shared" si="1"/>
        <v>60</v>
      </c>
      <c r="V46" s="163">
        <f t="shared" si="2"/>
        <v>1111</v>
      </c>
      <c r="W46" s="163">
        <f t="shared" si="3"/>
        <v>0</v>
      </c>
      <c r="AE46" s="155"/>
      <c r="AF46" s="155"/>
      <c r="AG46" s="155"/>
      <c r="AH46" s="155"/>
      <c r="AI46" s="155"/>
      <c r="AJ46" s="155"/>
      <c r="AK46" s="155"/>
      <c r="AL46" s="155"/>
    </row>
    <row r="47" spans="1:38" ht="26.25" customHeight="1" hidden="1">
      <c r="A47" s="152"/>
      <c r="B47" s="153"/>
      <c r="C47" s="154"/>
      <c r="D47" s="154"/>
      <c r="E47" s="154"/>
      <c r="F47" s="153"/>
      <c r="G47" s="153"/>
      <c r="H47" s="153"/>
      <c r="I47" s="153"/>
      <c r="J47" s="153"/>
      <c r="K47" s="153"/>
      <c r="L47" s="153"/>
      <c r="M47" s="153"/>
      <c r="N47" s="166"/>
      <c r="O47" s="167"/>
      <c r="P47" s="167"/>
      <c r="Q47" s="167"/>
      <c r="R47" s="167"/>
      <c r="S47" s="167"/>
      <c r="T47" s="167"/>
      <c r="U47" s="167"/>
      <c r="V47" s="167"/>
      <c r="W47" s="167"/>
      <c r="Y47" s="168"/>
      <c r="Z47" s="169" t="s">
        <v>10</v>
      </c>
      <c r="AA47" s="169">
        <v>1</v>
      </c>
      <c r="AB47" s="170" t="str">
        <f>VLOOKUP(AA47,AA34:AB45,2,0)</f>
        <v>No Change</v>
      </c>
      <c r="AE47" s="155"/>
      <c r="AF47" s="155"/>
      <c r="AG47" s="155"/>
      <c r="AH47" s="155"/>
      <c r="AI47" s="155"/>
      <c r="AJ47" s="155"/>
      <c r="AK47" s="155"/>
      <c r="AL47" s="155"/>
    </row>
    <row r="48" spans="1:38" ht="26.25" customHeight="1" hidden="1">
      <c r="A48" s="152"/>
      <c r="B48" s="153"/>
      <c r="C48" s="154"/>
      <c r="D48" s="154"/>
      <c r="E48" s="154"/>
      <c r="F48" s="153"/>
      <c r="G48" s="153"/>
      <c r="H48" s="153"/>
      <c r="I48" s="153"/>
      <c r="J48" s="153"/>
      <c r="K48" s="153"/>
      <c r="L48" s="153"/>
      <c r="M48" s="153"/>
      <c r="N48" s="153"/>
      <c r="O48" s="154"/>
      <c r="P48" s="154" t="s">
        <v>26</v>
      </c>
      <c r="Q48" s="154" t="s">
        <v>27</v>
      </c>
      <c r="R48" s="154"/>
      <c r="S48" s="154"/>
      <c r="Y48" s="171"/>
      <c r="Z48" s="155" t="s">
        <v>160</v>
      </c>
      <c r="AA48" s="155">
        <v>8</v>
      </c>
      <c r="AB48" s="172" t="str">
        <f>VLOOKUP(AA48,AA34:AB45,2,0)</f>
        <v>Oct,11</v>
      </c>
      <c r="AE48" s="155"/>
      <c r="AF48" s="155"/>
      <c r="AG48" s="155"/>
      <c r="AH48" s="155"/>
      <c r="AI48" s="155"/>
      <c r="AJ48" s="155"/>
      <c r="AK48" s="155"/>
      <c r="AL48" s="155"/>
    </row>
    <row r="49" spans="1:32" ht="26.25" customHeight="1" hidden="1" thickBot="1">
      <c r="A49" s="152"/>
      <c r="B49" s="153"/>
      <c r="C49" s="154"/>
      <c r="D49" s="154"/>
      <c r="E49" s="154"/>
      <c r="F49" s="153"/>
      <c r="G49" s="153"/>
      <c r="H49" s="153"/>
      <c r="I49" s="153"/>
      <c r="J49" s="153"/>
      <c r="K49" s="153"/>
      <c r="L49" s="153"/>
      <c r="M49" s="153"/>
      <c r="N49" s="549" t="s">
        <v>25</v>
      </c>
      <c r="O49" s="549"/>
      <c r="P49" s="163">
        <v>0</v>
      </c>
      <c r="Q49" s="163">
        <v>0</v>
      </c>
      <c r="R49" s="154"/>
      <c r="S49" s="537" t="s">
        <v>29</v>
      </c>
      <c r="T49" s="537"/>
      <c r="U49" s="537"/>
      <c r="V49" s="163">
        <v>60000</v>
      </c>
      <c r="Y49" s="173"/>
      <c r="Z49" s="174" t="s">
        <v>200</v>
      </c>
      <c r="AA49" s="174">
        <v>1</v>
      </c>
      <c r="AB49" s="172" t="str">
        <f>VLOOKUP(AA49,AA34:AB45,2,0)</f>
        <v>No Change</v>
      </c>
      <c r="AF49" s="153" t="s">
        <v>183</v>
      </c>
    </row>
    <row r="50" spans="1:26" ht="26.25" customHeight="1" hidden="1" thickBot="1">
      <c r="A50" s="152"/>
      <c r="B50" s="153"/>
      <c r="C50" s="154"/>
      <c r="D50" s="154"/>
      <c r="E50" s="154"/>
      <c r="F50" s="153"/>
      <c r="G50" s="153"/>
      <c r="H50" s="153"/>
      <c r="I50" s="153"/>
      <c r="J50" s="153"/>
      <c r="K50" s="153"/>
      <c r="L50" s="153"/>
      <c r="M50" s="153"/>
      <c r="N50" s="153"/>
      <c r="O50" s="154"/>
      <c r="P50" s="154"/>
      <c r="Q50" s="154"/>
      <c r="R50" s="154"/>
      <c r="S50" s="521"/>
      <c r="T50" s="521"/>
      <c r="U50" s="521"/>
      <c r="V50" s="521"/>
      <c r="Z50" s="153" t="s">
        <v>22</v>
      </c>
    </row>
    <row r="51" spans="1:32" ht="26.25" customHeight="1" hidden="1">
      <c r="A51" s="152"/>
      <c r="B51" s="153"/>
      <c r="C51" s="154"/>
      <c r="D51" s="154"/>
      <c r="E51" s="154"/>
      <c r="F51" s="153"/>
      <c r="G51" s="153"/>
      <c r="H51" s="153"/>
      <c r="I51" s="153"/>
      <c r="J51" s="153"/>
      <c r="K51" s="153"/>
      <c r="L51" s="153"/>
      <c r="M51" s="153"/>
      <c r="N51" s="531" t="s">
        <v>28</v>
      </c>
      <c r="O51" s="531"/>
      <c r="P51" s="531"/>
      <c r="Q51" s="163">
        <v>12173</v>
      </c>
      <c r="R51" s="154"/>
      <c r="S51" s="531" t="s">
        <v>30</v>
      </c>
      <c r="T51" s="531"/>
      <c r="U51" s="531"/>
      <c r="V51" s="163">
        <v>0</v>
      </c>
      <c r="AC51" s="175" t="s">
        <v>8</v>
      </c>
      <c r="AF51" s="153" t="str">
        <f>CONCATENATE("Statement Showing the Salary Particulars of : ",AB21," ",D3,", ",Z4,", ",C4,", Mandal : ",L4)</f>
        <v>Statement Showing the Salary Particulars of : Smt. D.Latha, SGT , M.P.P.School.Enikepadu, Mandal : vijayavada</v>
      </c>
    </row>
    <row r="52" spans="1:29" ht="26.25" customHeight="1" hidden="1" thickBot="1">
      <c r="A52" s="152"/>
      <c r="B52" s="153"/>
      <c r="C52" s="154"/>
      <c r="D52" s="154"/>
      <c r="E52" s="154"/>
      <c r="F52" s="153"/>
      <c r="G52" s="153"/>
      <c r="H52" s="153"/>
      <c r="I52" s="153"/>
      <c r="J52" s="153"/>
      <c r="K52" s="153"/>
      <c r="L52" s="153"/>
      <c r="M52" s="153"/>
      <c r="N52" s="153"/>
      <c r="O52" s="153"/>
      <c r="P52" s="153"/>
      <c r="Y52" s="153">
        <v>1</v>
      </c>
      <c r="AA52" s="153">
        <v>2</v>
      </c>
      <c r="AC52" s="176">
        <v>2</v>
      </c>
    </row>
    <row r="53" spans="1:29" ht="26.25" customHeight="1" hidden="1">
      <c r="A53" s="152"/>
      <c r="B53" s="153"/>
      <c r="C53" s="154"/>
      <c r="D53" s="154"/>
      <c r="E53" s="154"/>
      <c r="F53" s="153"/>
      <c r="G53" s="153"/>
      <c r="H53" s="153"/>
      <c r="I53" s="153"/>
      <c r="J53" s="153"/>
      <c r="K53" s="153"/>
      <c r="L53" s="153"/>
      <c r="M53" s="177">
        <v>1</v>
      </c>
      <c r="N53" s="178" t="str">
        <f>VLOOKUP(M53,M54:N55,2,0)</f>
        <v>Medical Insurance Premium</v>
      </c>
      <c r="O53" s="178"/>
      <c r="P53" s="169"/>
      <c r="Q53" s="169"/>
      <c r="R53" s="68">
        <f>VLOOKUP(M53,M54:S55,7,0)</f>
        <v>15000</v>
      </c>
      <c r="S53" s="169">
        <f>M22</f>
        <v>0</v>
      </c>
      <c r="T53" s="179">
        <f>MIN(R53,S53)</f>
        <v>0</v>
      </c>
      <c r="Y53" s="153">
        <f>IF(AA72=2,"","1")</f>
      </c>
      <c r="AA53" s="153">
        <v>1</v>
      </c>
      <c r="AB53" s="153" t="s">
        <v>31</v>
      </c>
      <c r="AC53" s="176" t="str">
        <f>VLOOKUP(AC52,AA53:AB54,2,0)</f>
        <v>No</v>
      </c>
    </row>
    <row r="54" spans="1:28" ht="26.25" customHeight="1" hidden="1">
      <c r="A54" s="152"/>
      <c r="B54" s="153"/>
      <c r="C54" s="154"/>
      <c r="D54" s="154"/>
      <c r="E54" s="154"/>
      <c r="F54" s="153"/>
      <c r="G54" s="153"/>
      <c r="H54" s="153"/>
      <c r="I54" s="153"/>
      <c r="J54" s="153"/>
      <c r="K54" s="153"/>
      <c r="L54" s="153"/>
      <c r="M54" s="171">
        <v>1</v>
      </c>
      <c r="N54" s="63" t="s">
        <v>285</v>
      </c>
      <c r="O54" s="63"/>
      <c r="P54" s="63"/>
      <c r="Q54" s="63"/>
      <c r="R54" s="63"/>
      <c r="S54" s="64">
        <v>15000</v>
      </c>
      <c r="T54" s="172"/>
      <c r="Y54" s="153">
        <f>IF(AA72=2,"","2")</f>
      </c>
      <c r="AA54" s="153">
        <v>2</v>
      </c>
      <c r="AB54" s="153" t="s">
        <v>32</v>
      </c>
    </row>
    <row r="55" spans="1:63" ht="26.25" customHeight="1" hidden="1" thickBot="1">
      <c r="A55" s="152"/>
      <c r="B55" s="153"/>
      <c r="C55" s="154"/>
      <c r="D55" s="154"/>
      <c r="E55" s="154"/>
      <c r="F55" s="153"/>
      <c r="G55" s="153"/>
      <c r="H55" s="153"/>
      <c r="I55" s="153"/>
      <c r="J55" s="153"/>
      <c r="K55" s="153"/>
      <c r="L55" s="153"/>
      <c r="M55" s="173">
        <v>2</v>
      </c>
      <c r="N55" s="65" t="s">
        <v>286</v>
      </c>
      <c r="O55" s="65"/>
      <c r="P55" s="65"/>
      <c r="Q55" s="65"/>
      <c r="R55" s="65"/>
      <c r="S55" s="66">
        <v>20000</v>
      </c>
      <c r="T55" s="180"/>
      <c r="Y55" s="153">
        <f>IF(AA72=2,"","3")</f>
      </c>
      <c r="BJ55" s="153">
        <v>1</v>
      </c>
      <c r="BK55" s="153" t="str">
        <f>VLOOKUP(BJ55,BJ57:BK81,2,)</f>
        <v>Not Availed</v>
      </c>
    </row>
    <row r="56" spans="1:74" ht="26.25" customHeight="1" hidden="1">
      <c r="A56" s="152"/>
      <c r="B56" s="153"/>
      <c r="C56" s="154"/>
      <c r="D56" s="154"/>
      <c r="E56" s="154"/>
      <c r="F56" s="153"/>
      <c r="G56" s="153"/>
      <c r="H56" s="153"/>
      <c r="I56" s="153"/>
      <c r="J56" s="153"/>
      <c r="K56" s="153"/>
      <c r="L56" s="153"/>
      <c r="M56" s="177">
        <v>1</v>
      </c>
      <c r="N56" s="67" t="str">
        <f>VLOOKUP(M56,M57:N58,2,0)</f>
        <v>Expenditure on medical treatment</v>
      </c>
      <c r="O56" s="68"/>
      <c r="P56" s="68"/>
      <c r="Q56" s="68"/>
      <c r="R56" s="68">
        <f>VLOOKUP(M56,M57:S58,7,0)</f>
        <v>40000</v>
      </c>
      <c r="S56" s="69">
        <f>M22</f>
        <v>0</v>
      </c>
      <c r="T56" s="179">
        <f>MIN(R56,S56)</f>
        <v>0</v>
      </c>
      <c r="Y56" s="153">
        <f>IF(AA72=2,"","4")</f>
      </c>
      <c r="BM56" s="181" t="s">
        <v>2</v>
      </c>
      <c r="BN56" s="181" t="s">
        <v>3</v>
      </c>
      <c r="BO56" s="181" t="s">
        <v>4</v>
      </c>
      <c r="BP56" s="181" t="s">
        <v>6</v>
      </c>
      <c r="BQ56" s="181" t="s">
        <v>7</v>
      </c>
      <c r="BR56" s="181" t="s">
        <v>193</v>
      </c>
      <c r="BS56" s="181" t="s">
        <v>46</v>
      </c>
      <c r="BT56" s="181" t="s">
        <v>200</v>
      </c>
      <c r="BU56" s="181" t="s">
        <v>8</v>
      </c>
      <c r="BV56" s="181" t="s">
        <v>196</v>
      </c>
    </row>
    <row r="57" spans="1:76" ht="26.25" customHeight="1" hidden="1">
      <c r="A57" s="152"/>
      <c r="B57" s="153"/>
      <c r="C57" s="154"/>
      <c r="D57" s="154"/>
      <c r="E57" s="154"/>
      <c r="F57" s="153"/>
      <c r="G57" s="153"/>
      <c r="H57" s="153"/>
      <c r="I57" s="153"/>
      <c r="J57" s="153"/>
      <c r="K57" s="153"/>
      <c r="L57" s="153"/>
      <c r="M57" s="171">
        <v>1</v>
      </c>
      <c r="N57" s="63" t="s">
        <v>287</v>
      </c>
      <c r="O57" s="63"/>
      <c r="P57" s="63"/>
      <c r="Q57" s="63"/>
      <c r="R57" s="63"/>
      <c r="S57" s="64">
        <v>40000</v>
      </c>
      <c r="T57" s="172"/>
      <c r="Y57" s="153">
        <f>IF(AA72=2,"","5")</f>
      </c>
      <c r="AA57" s="153">
        <v>6</v>
      </c>
      <c r="AB57" s="153" t="str">
        <f>VLOOKUP(AA57,AA58:AB70,2,0)</f>
        <v>July,11</v>
      </c>
      <c r="BJ57" s="153">
        <v>1</v>
      </c>
      <c r="BK57" s="153" t="s">
        <v>184</v>
      </c>
      <c r="BM57" s="153">
        <v>0</v>
      </c>
      <c r="BN57" s="153">
        <v>0</v>
      </c>
      <c r="BO57" s="153">
        <v>0</v>
      </c>
      <c r="BP57" s="153">
        <v>0</v>
      </c>
      <c r="BQ57" s="153">
        <v>0</v>
      </c>
      <c r="BR57" s="153">
        <v>0</v>
      </c>
      <c r="BS57" s="153">
        <v>0</v>
      </c>
      <c r="BT57" s="153">
        <v>0</v>
      </c>
      <c r="BU57" s="153">
        <v>0</v>
      </c>
      <c r="BV57" s="153">
        <v>0</v>
      </c>
      <c r="BW57" s="153">
        <v>0</v>
      </c>
      <c r="BX57" s="153">
        <v>0</v>
      </c>
    </row>
    <row r="58" spans="1:74" ht="26.25" customHeight="1" hidden="1" thickBot="1">
      <c r="A58" s="152"/>
      <c r="B58" s="153"/>
      <c r="C58" s="154"/>
      <c r="D58" s="154"/>
      <c r="E58" s="154"/>
      <c r="F58" s="153"/>
      <c r="G58" s="153"/>
      <c r="H58" s="153"/>
      <c r="I58" s="153"/>
      <c r="J58" s="153"/>
      <c r="K58" s="153"/>
      <c r="L58" s="153"/>
      <c r="M58" s="173">
        <v>2</v>
      </c>
      <c r="N58" s="65" t="s">
        <v>288</v>
      </c>
      <c r="O58" s="65"/>
      <c r="P58" s="65"/>
      <c r="Q58" s="65"/>
      <c r="R58" s="65"/>
      <c r="S58" s="66">
        <v>60000</v>
      </c>
      <c r="T58" s="180"/>
      <c r="Y58" s="153">
        <f>IF(AA72=2,"","6")</f>
      </c>
      <c r="AA58" s="153">
        <v>1</v>
      </c>
      <c r="AB58" s="153" t="s">
        <v>178</v>
      </c>
      <c r="AC58" s="182" t="s">
        <v>179</v>
      </c>
      <c r="BJ58" s="153">
        <v>2</v>
      </c>
      <c r="BK58" s="153" t="s">
        <v>568</v>
      </c>
      <c r="BM58" s="153">
        <f>ROUND('Annexure -I'!C4/2,0.1)</f>
        <v>7640</v>
      </c>
      <c r="BN58" s="153">
        <f>ROUND('Annexure -I'!D4/2,0.1)</f>
        <v>1897</v>
      </c>
      <c r="BO58" s="153">
        <f>ROUND('Annexure -I'!E4/2,0.1)</f>
        <v>1528</v>
      </c>
      <c r="BP58" s="153">
        <v>0</v>
      </c>
      <c r="BQ58" s="153">
        <f>ROUND('Annexure -I'!G4/2,0.1)</f>
        <v>0</v>
      </c>
      <c r="BR58" s="153">
        <f>ROUND('Annexure -I'!H4/2,0.1)</f>
        <v>0</v>
      </c>
      <c r="BS58" s="153">
        <v>0</v>
      </c>
      <c r="BT58" s="153">
        <f>ROUND('Annexure -I'!J4/2,0.1)</f>
        <v>110</v>
      </c>
      <c r="BU58" s="153">
        <v>0</v>
      </c>
      <c r="BV58" s="153">
        <f aca="true" t="shared" si="4" ref="BV58:BV83">SUM(BM58:BU58)</f>
        <v>11175</v>
      </c>
    </row>
    <row r="59" spans="1:74" ht="26.25" customHeight="1" hidden="1">
      <c r="A59" s="152"/>
      <c r="B59" s="153"/>
      <c r="C59" s="154"/>
      <c r="D59" s="154"/>
      <c r="E59" s="154"/>
      <c r="F59" s="153"/>
      <c r="G59" s="153"/>
      <c r="H59" s="153"/>
      <c r="I59" s="153"/>
      <c r="J59" s="153"/>
      <c r="K59" s="153"/>
      <c r="L59" s="153"/>
      <c r="M59" s="177">
        <v>1</v>
      </c>
      <c r="N59" s="67" t="str">
        <f>VLOOKUP(M59,M60:N61,2,0)</f>
        <v>Donation of Charitable Institution</v>
      </c>
      <c r="O59" s="70"/>
      <c r="P59" s="68"/>
      <c r="Q59" s="68"/>
      <c r="R59" s="68">
        <f>VLOOKUP(M59,M60:S61,7,0)</f>
        <v>100000</v>
      </c>
      <c r="S59" s="69">
        <f>M23</f>
        <v>0</v>
      </c>
      <c r="T59" s="179">
        <f>MIN(R59,S59)</f>
        <v>0</v>
      </c>
      <c r="Y59" s="153">
        <f>IF(AA72=2,"","7")</f>
      </c>
      <c r="AA59" s="153">
        <v>2</v>
      </c>
      <c r="AB59" s="153" t="s">
        <v>548</v>
      </c>
      <c r="AC59" s="182" t="s">
        <v>164</v>
      </c>
      <c r="BJ59" s="153">
        <v>3</v>
      </c>
      <c r="BK59" s="153" t="s">
        <v>570</v>
      </c>
      <c r="BM59" s="153">
        <f>'Annexure -I'!C4</f>
        <v>15280</v>
      </c>
      <c r="BN59" s="153">
        <f>'Annexure -I'!D4</f>
        <v>3793</v>
      </c>
      <c r="BO59" s="153">
        <f>'Annexure -I'!E4</f>
        <v>3056</v>
      </c>
      <c r="BP59" s="153">
        <v>0</v>
      </c>
      <c r="BQ59" s="153">
        <f>'Annexure -I'!G4</f>
        <v>0</v>
      </c>
      <c r="BR59" s="153">
        <f>'Annexure -I'!H4</f>
        <v>0</v>
      </c>
      <c r="BS59" s="153">
        <v>0</v>
      </c>
      <c r="BT59" s="153">
        <f>'Annexure -I'!J4</f>
        <v>220</v>
      </c>
      <c r="BU59" s="153">
        <v>0</v>
      </c>
      <c r="BV59" s="153">
        <f t="shared" si="4"/>
        <v>22349</v>
      </c>
    </row>
    <row r="60" spans="1:74" ht="26.25" customHeight="1" hidden="1">
      <c r="A60" s="152"/>
      <c r="B60" s="153"/>
      <c r="C60" s="154"/>
      <c r="D60" s="154"/>
      <c r="E60" s="154"/>
      <c r="F60" s="153"/>
      <c r="G60" s="153"/>
      <c r="H60" s="153"/>
      <c r="I60" s="153"/>
      <c r="J60" s="153"/>
      <c r="K60" s="153"/>
      <c r="L60" s="153"/>
      <c r="M60" s="171">
        <v>1</v>
      </c>
      <c r="N60" s="63" t="s">
        <v>289</v>
      </c>
      <c r="O60" s="63"/>
      <c r="P60" s="63"/>
      <c r="Q60" s="63"/>
      <c r="R60" s="63"/>
      <c r="S60" s="64">
        <v>100000</v>
      </c>
      <c r="T60" s="172"/>
      <c r="Y60" s="153">
        <f>IF(AA72=2,"","8")</f>
      </c>
      <c r="AA60" s="153">
        <v>3</v>
      </c>
      <c r="AB60" s="153" t="s">
        <v>537</v>
      </c>
      <c r="AC60" s="182" t="s">
        <v>165</v>
      </c>
      <c r="BJ60" s="153">
        <v>4</v>
      </c>
      <c r="BK60" s="153" t="s">
        <v>571</v>
      </c>
      <c r="BM60" s="153">
        <f>ROUND('Annexure -I'!C5/2,0.1)</f>
        <v>7640</v>
      </c>
      <c r="BN60" s="153">
        <f>ROUND('Annexure -I'!D5/2,0.1)</f>
        <v>1897</v>
      </c>
      <c r="BO60" s="153">
        <f>ROUND('Annexure -I'!E5/2,0.1)</f>
        <v>1528</v>
      </c>
      <c r="BP60" s="153">
        <v>0</v>
      </c>
      <c r="BQ60" s="153">
        <f>ROUND('Annexure -I'!G5/2,0.1)</f>
        <v>0</v>
      </c>
      <c r="BR60" s="153">
        <f>ROUND('Annexure -I'!H5/2,0.1)</f>
        <v>0</v>
      </c>
      <c r="BS60" s="153">
        <v>0</v>
      </c>
      <c r="BT60" s="153">
        <f>ROUND('Annexure -I'!J5/2,0.1)</f>
        <v>110</v>
      </c>
      <c r="BU60" s="153">
        <v>0</v>
      </c>
      <c r="BV60" s="153">
        <f t="shared" si="4"/>
        <v>11175</v>
      </c>
    </row>
    <row r="61" spans="1:74" ht="26.25" customHeight="1" hidden="1" thickBot="1">
      <c r="A61" s="152"/>
      <c r="B61" s="153"/>
      <c r="C61" s="154"/>
      <c r="D61" s="154"/>
      <c r="E61" s="154"/>
      <c r="F61" s="153"/>
      <c r="G61" s="153"/>
      <c r="H61" s="153"/>
      <c r="I61" s="153"/>
      <c r="J61" s="153"/>
      <c r="K61" s="153"/>
      <c r="L61" s="153"/>
      <c r="M61" s="173">
        <v>2</v>
      </c>
      <c r="N61" s="65" t="s">
        <v>290</v>
      </c>
      <c r="O61" s="65"/>
      <c r="P61" s="65"/>
      <c r="Q61" s="65"/>
      <c r="R61" s="65"/>
      <c r="S61" s="66">
        <v>100000</v>
      </c>
      <c r="T61" s="180"/>
      <c r="Y61" s="153">
        <f>IF(AA72=2,"","9")</f>
      </c>
      <c r="AA61" s="153">
        <v>4</v>
      </c>
      <c r="AB61" s="153" t="s">
        <v>538</v>
      </c>
      <c r="AC61" s="182" t="s">
        <v>166</v>
      </c>
      <c r="BJ61" s="153">
        <v>5</v>
      </c>
      <c r="BK61" s="153" t="s">
        <v>569</v>
      </c>
      <c r="BM61" s="153">
        <f>'Annexure -I'!C5</f>
        <v>15280</v>
      </c>
      <c r="BN61" s="153">
        <f>'Annexure -I'!D5</f>
        <v>3793</v>
      </c>
      <c r="BO61" s="153">
        <f>'Annexure -I'!E5</f>
        <v>3056</v>
      </c>
      <c r="BP61" s="153">
        <v>0</v>
      </c>
      <c r="BQ61" s="153">
        <f>'Annexure -I'!G5</f>
        <v>0</v>
      </c>
      <c r="BR61" s="153">
        <f>'Annexure -I'!H5</f>
        <v>0</v>
      </c>
      <c r="BS61" s="153">
        <v>0</v>
      </c>
      <c r="BT61" s="153">
        <f>'Annexure -I'!J5</f>
        <v>220</v>
      </c>
      <c r="BU61" s="153">
        <v>0</v>
      </c>
      <c r="BV61" s="153">
        <f t="shared" si="4"/>
        <v>22349</v>
      </c>
    </row>
    <row r="62" spans="1:74" ht="26.25" customHeight="1" hidden="1">
      <c r="A62" s="152"/>
      <c r="B62" s="153"/>
      <c r="C62" s="154"/>
      <c r="D62" s="154"/>
      <c r="E62" s="154"/>
      <c r="F62" s="153"/>
      <c r="G62" s="153"/>
      <c r="H62" s="153"/>
      <c r="I62" s="153"/>
      <c r="J62" s="153"/>
      <c r="K62" s="153"/>
      <c r="L62" s="153"/>
      <c r="M62" s="168"/>
      <c r="N62" s="68"/>
      <c r="O62" s="68"/>
      <c r="P62" s="68"/>
      <c r="Q62" s="68"/>
      <c r="R62" s="68"/>
      <c r="S62" s="69"/>
      <c r="T62" s="170"/>
      <c r="Y62" s="153">
        <f>IF(AA72=2,"","10")</f>
      </c>
      <c r="AA62" s="153">
        <v>5</v>
      </c>
      <c r="AB62" s="153" t="s">
        <v>539</v>
      </c>
      <c r="AC62" s="182" t="s">
        <v>167</v>
      </c>
      <c r="BJ62" s="153">
        <v>6</v>
      </c>
      <c r="BK62" s="153" t="s">
        <v>572</v>
      </c>
      <c r="BM62" s="153">
        <f>ROUND('Annexure -I'!C6/2,0.1)</f>
        <v>7640</v>
      </c>
      <c r="BN62" s="153">
        <f>ROUND('Annexure -I'!D6/2,0.1)</f>
        <v>1897</v>
      </c>
      <c r="BO62" s="153">
        <f>ROUND('Annexure -I'!E6/2,0.1)</f>
        <v>1528</v>
      </c>
      <c r="BP62" s="153">
        <v>0</v>
      </c>
      <c r="BQ62" s="153">
        <f>ROUND('Annexure -I'!G6/2,0.1)</f>
        <v>0</v>
      </c>
      <c r="BR62" s="153">
        <f>ROUND('Annexure -I'!H6/2,0.1)</f>
        <v>0</v>
      </c>
      <c r="BS62" s="153">
        <v>0</v>
      </c>
      <c r="BT62" s="153">
        <f>ROUND('Annexure -I'!J6/2,0.1)</f>
        <v>110</v>
      </c>
      <c r="BU62" s="153">
        <v>0</v>
      </c>
      <c r="BV62" s="153">
        <f t="shared" si="4"/>
        <v>11175</v>
      </c>
    </row>
    <row r="63" spans="1:74" ht="26.25" customHeight="1" hidden="1">
      <c r="A63" s="152"/>
      <c r="B63" s="153"/>
      <c r="C63" s="154"/>
      <c r="D63" s="154"/>
      <c r="E63" s="154"/>
      <c r="F63" s="153"/>
      <c r="G63" s="153"/>
      <c r="H63" s="153"/>
      <c r="I63" s="153"/>
      <c r="J63" s="153"/>
      <c r="K63" s="153"/>
      <c r="L63" s="153"/>
      <c r="M63" s="171"/>
      <c r="N63" s="63" t="s">
        <v>282</v>
      </c>
      <c r="O63" s="63"/>
      <c r="P63" s="63"/>
      <c r="Q63" s="63"/>
      <c r="R63" s="64">
        <v>200000</v>
      </c>
      <c r="S63" s="155">
        <f>M18</f>
        <v>0</v>
      </c>
      <c r="T63" s="183">
        <f>MIN(R63,S63)</f>
        <v>0</v>
      </c>
      <c r="Y63" s="153">
        <f>IF(AA72=2,"","11")</f>
      </c>
      <c r="AA63" s="153">
        <v>6</v>
      </c>
      <c r="AB63" s="153" t="s">
        <v>540</v>
      </c>
      <c r="AC63" s="182" t="s">
        <v>168</v>
      </c>
      <c r="BJ63" s="153">
        <v>7</v>
      </c>
      <c r="BK63" s="153" t="s">
        <v>573</v>
      </c>
      <c r="BM63" s="153">
        <f>'Annexure -I'!C6</f>
        <v>15280</v>
      </c>
      <c r="BN63" s="153">
        <f>'Annexure -I'!D6</f>
        <v>3793</v>
      </c>
      <c r="BO63" s="153">
        <f>'Annexure -I'!E6</f>
        <v>3056</v>
      </c>
      <c r="BP63" s="153">
        <v>0</v>
      </c>
      <c r="BQ63" s="153">
        <f>'Annexure -I'!G6</f>
        <v>0</v>
      </c>
      <c r="BR63" s="153">
        <f>'Annexure -I'!H6</f>
        <v>0</v>
      </c>
      <c r="BS63" s="153">
        <v>0</v>
      </c>
      <c r="BT63" s="153">
        <f>'Annexure -I'!J6</f>
        <v>220</v>
      </c>
      <c r="BU63" s="153">
        <v>0</v>
      </c>
      <c r="BV63" s="153">
        <f t="shared" si="4"/>
        <v>22349</v>
      </c>
    </row>
    <row r="64" spans="1:74" ht="26.25" customHeight="1" hidden="1">
      <c r="A64" s="152"/>
      <c r="B64" s="153"/>
      <c r="C64" s="154"/>
      <c r="D64" s="154"/>
      <c r="E64" s="154"/>
      <c r="F64" s="153"/>
      <c r="G64" s="153"/>
      <c r="H64" s="153"/>
      <c r="I64" s="153"/>
      <c r="J64" s="153"/>
      <c r="K64" s="153"/>
      <c r="L64" s="153"/>
      <c r="M64" s="171"/>
      <c r="N64" s="63"/>
      <c r="O64" s="63"/>
      <c r="P64" s="63"/>
      <c r="Q64" s="63"/>
      <c r="R64" s="64"/>
      <c r="S64" s="155"/>
      <c r="T64" s="172"/>
      <c r="Y64" s="153">
        <f>IF(AA72=2,"","12")</f>
      </c>
      <c r="AA64" s="153">
        <v>7</v>
      </c>
      <c r="AB64" s="153" t="s">
        <v>541</v>
      </c>
      <c r="AC64" s="182" t="s">
        <v>169</v>
      </c>
      <c r="BJ64" s="153">
        <v>8</v>
      </c>
      <c r="BK64" s="153" t="s">
        <v>574</v>
      </c>
      <c r="BM64" s="153">
        <f>ROUND('Annexure -I'!C7/2,0.1)</f>
        <v>7850</v>
      </c>
      <c r="BN64" s="153">
        <f>ROUND('Annexure -I'!D7/2,0.1)</f>
        <v>2352</v>
      </c>
      <c r="BO64" s="153">
        <f>ROUND('Annexure -I'!E7/2,0.1)</f>
        <v>1570</v>
      </c>
      <c r="BP64" s="153">
        <v>0</v>
      </c>
      <c r="BQ64" s="153">
        <f>ROUND('Annexure -I'!G7/2,0.1)</f>
        <v>0</v>
      </c>
      <c r="BR64" s="153">
        <f>ROUND('Annexure -I'!H7/2,0.1)</f>
        <v>0</v>
      </c>
      <c r="BS64" s="153">
        <v>0</v>
      </c>
      <c r="BT64" s="153">
        <f>ROUND('Annexure -I'!J7/2,0.1)</f>
        <v>110</v>
      </c>
      <c r="BU64" s="153">
        <v>0</v>
      </c>
      <c r="BV64" s="153">
        <f t="shared" si="4"/>
        <v>11882</v>
      </c>
    </row>
    <row r="65" spans="1:74" ht="26.25" customHeight="1" hidden="1">
      <c r="A65" s="152"/>
      <c r="B65" s="153"/>
      <c r="C65" s="154"/>
      <c r="D65" s="154"/>
      <c r="E65" s="154"/>
      <c r="F65" s="153"/>
      <c r="G65" s="153"/>
      <c r="H65" s="153"/>
      <c r="I65" s="153"/>
      <c r="J65" s="153"/>
      <c r="K65" s="153"/>
      <c r="L65" s="153"/>
      <c r="M65" s="171"/>
      <c r="N65" s="63" t="s">
        <v>283</v>
      </c>
      <c r="O65" s="63"/>
      <c r="P65" s="63"/>
      <c r="Q65" s="63"/>
      <c r="R65" s="64">
        <v>150000</v>
      </c>
      <c r="S65" s="155">
        <f>M19</f>
        <v>0</v>
      </c>
      <c r="T65" s="183">
        <f>MIN(R65,S65)</f>
        <v>0</v>
      </c>
      <c r="Y65" s="153">
        <f>IF(AA72=2,"","13")</f>
      </c>
      <c r="AA65" s="153">
        <v>8</v>
      </c>
      <c r="AB65" s="153" t="s">
        <v>542</v>
      </c>
      <c r="AC65" s="182" t="s">
        <v>170</v>
      </c>
      <c r="BJ65" s="153">
        <v>9</v>
      </c>
      <c r="BK65" s="153" t="s">
        <v>575</v>
      </c>
      <c r="BM65" s="153">
        <f>'Annexure -I'!C7</f>
        <v>15700</v>
      </c>
      <c r="BN65" s="153">
        <f>'Annexure -I'!D7</f>
        <v>4704</v>
      </c>
      <c r="BO65" s="153">
        <f>'Annexure -I'!E7</f>
        <v>3140</v>
      </c>
      <c r="BP65" s="153">
        <v>0</v>
      </c>
      <c r="BQ65" s="153">
        <f>'Annexure -I'!G7</f>
        <v>0</v>
      </c>
      <c r="BR65" s="153">
        <f>'Annexure -I'!H7</f>
        <v>0</v>
      </c>
      <c r="BS65" s="153">
        <v>0</v>
      </c>
      <c r="BT65" s="153">
        <f>'Annexure -I'!J7</f>
        <v>220</v>
      </c>
      <c r="BU65" s="153">
        <v>0</v>
      </c>
      <c r="BV65" s="153">
        <f t="shared" si="4"/>
        <v>23764</v>
      </c>
    </row>
    <row r="66" spans="1:74" ht="26.25" customHeight="1" hidden="1">
      <c r="A66" s="152"/>
      <c r="B66" s="153"/>
      <c r="C66" s="154"/>
      <c r="D66" s="154"/>
      <c r="E66" s="154"/>
      <c r="F66" s="153"/>
      <c r="G66" s="153"/>
      <c r="H66" s="153"/>
      <c r="I66" s="153"/>
      <c r="J66" s="153"/>
      <c r="K66" s="153"/>
      <c r="L66" s="153"/>
      <c r="M66" s="171"/>
      <c r="N66" s="63"/>
      <c r="O66" s="63"/>
      <c r="P66" s="63"/>
      <c r="Q66" s="63"/>
      <c r="R66" s="64"/>
      <c r="S66" s="155"/>
      <c r="T66" s="184"/>
      <c r="Y66" s="153">
        <f>IF(AA72=2,"","14")</f>
      </c>
      <c r="AA66" s="153">
        <v>9</v>
      </c>
      <c r="AB66" s="153" t="s">
        <v>543</v>
      </c>
      <c r="AC66" s="182" t="s">
        <v>171</v>
      </c>
      <c r="BJ66" s="153">
        <v>10</v>
      </c>
      <c r="BK66" s="153" t="s">
        <v>552</v>
      </c>
      <c r="BM66" s="153">
        <f>ROUND('Annexure -I'!C8/2,0.1)</f>
        <v>7850</v>
      </c>
      <c r="BN66" s="153">
        <f>ROUND('Annexure -I'!D8/2,0.1)</f>
        <v>2352</v>
      </c>
      <c r="BO66" s="153">
        <f>ROUND('Annexure -I'!E8/2,0.1)</f>
        <v>1570</v>
      </c>
      <c r="BP66" s="153">
        <v>0</v>
      </c>
      <c r="BQ66" s="153">
        <f>ROUND('Annexure -I'!G8/2,0.1)</f>
        <v>0</v>
      </c>
      <c r="BR66" s="153">
        <f>ROUND('Annexure -I'!H8/2,0.1)</f>
        <v>0</v>
      </c>
      <c r="BS66" s="153">
        <v>0</v>
      </c>
      <c r="BT66" s="153">
        <f>ROUND('Annexure -I'!J8/2,0.1)</f>
        <v>110</v>
      </c>
      <c r="BU66" s="153">
        <v>0</v>
      </c>
      <c r="BV66" s="153">
        <f t="shared" si="4"/>
        <v>11882</v>
      </c>
    </row>
    <row r="67" spans="1:74" ht="26.25" customHeight="1" hidden="1">
      <c r="A67" s="152"/>
      <c r="B67" s="153"/>
      <c r="C67" s="154"/>
      <c r="D67" s="154"/>
      <c r="E67" s="154"/>
      <c r="F67" s="153"/>
      <c r="G67" s="153"/>
      <c r="H67" s="153"/>
      <c r="I67" s="153"/>
      <c r="J67" s="153"/>
      <c r="K67" s="153"/>
      <c r="L67" s="153"/>
      <c r="M67" s="171"/>
      <c r="N67" s="63" t="s">
        <v>284</v>
      </c>
      <c r="O67" s="63"/>
      <c r="P67" s="63"/>
      <c r="Q67" s="63"/>
      <c r="R67" s="64">
        <v>50000</v>
      </c>
      <c r="S67" s="155">
        <f>M20</f>
        <v>0</v>
      </c>
      <c r="T67" s="183">
        <f>MIN(R67,S67)</f>
        <v>0</v>
      </c>
      <c r="Y67" s="153">
        <f>IF(AA72=2,"","15")</f>
      </c>
      <c r="AA67" s="153">
        <v>10</v>
      </c>
      <c r="AB67" s="153" t="s">
        <v>544</v>
      </c>
      <c r="AC67" s="182" t="s">
        <v>172</v>
      </c>
      <c r="BJ67" s="153">
        <v>11</v>
      </c>
      <c r="BK67" s="153" t="s">
        <v>553</v>
      </c>
      <c r="BM67" s="153">
        <f>'Annexure -I'!C8</f>
        <v>15700</v>
      </c>
      <c r="BN67" s="153">
        <f>'Annexure -I'!D8</f>
        <v>4704</v>
      </c>
      <c r="BO67" s="153">
        <f>'Annexure -I'!E8</f>
        <v>3140</v>
      </c>
      <c r="BP67" s="153">
        <v>0</v>
      </c>
      <c r="BQ67" s="153">
        <f>'Annexure -I'!G8</f>
        <v>0</v>
      </c>
      <c r="BR67" s="153">
        <f>'Annexure -I'!H8</f>
        <v>0</v>
      </c>
      <c r="BS67" s="153">
        <v>0</v>
      </c>
      <c r="BT67" s="153">
        <f>'Annexure -I'!J8</f>
        <v>220</v>
      </c>
      <c r="BU67" s="153">
        <v>0</v>
      </c>
      <c r="BV67" s="153">
        <f t="shared" si="4"/>
        <v>23764</v>
      </c>
    </row>
    <row r="68" spans="1:74" ht="26.25" customHeight="1" hidden="1" thickBot="1">
      <c r="A68" s="152"/>
      <c r="B68" s="153"/>
      <c r="C68" s="154"/>
      <c r="D68" s="154"/>
      <c r="E68" s="154"/>
      <c r="F68" s="153"/>
      <c r="G68" s="153"/>
      <c r="H68" s="153"/>
      <c r="I68" s="153"/>
      <c r="J68" s="153"/>
      <c r="K68" s="153"/>
      <c r="L68" s="153"/>
      <c r="M68" s="171">
        <v>1</v>
      </c>
      <c r="N68" s="63">
        <f>VLOOKUP(M68,M69:N70,2,0)</f>
      </c>
      <c r="O68" s="63"/>
      <c r="P68" s="63"/>
      <c r="Q68" s="63"/>
      <c r="R68" s="64">
        <f>VLOOKUP(M68,M69:R70,6,0)</f>
        <v>0</v>
      </c>
      <c r="S68" s="174">
        <f>M21</f>
        <v>0</v>
      </c>
      <c r="T68" s="185">
        <f>MIN(R68,S68)</f>
        <v>0</v>
      </c>
      <c r="Y68" s="153">
        <f>IF(AA72=2,"","16")</f>
      </c>
      <c r="AA68" s="153">
        <v>11</v>
      </c>
      <c r="AB68" s="153" t="s">
        <v>545</v>
      </c>
      <c r="AC68" s="182" t="s">
        <v>173</v>
      </c>
      <c r="BJ68" s="153">
        <v>12</v>
      </c>
      <c r="BK68" s="153" t="s">
        <v>554</v>
      </c>
      <c r="BM68" s="153">
        <f>ROUND('Annexure -I'!C9/2,0.1)</f>
        <v>7850</v>
      </c>
      <c r="BN68" s="153">
        <f>ROUND('Annexure -I'!D9/2,0.1)</f>
        <v>2352</v>
      </c>
      <c r="BO68" s="153">
        <f>ROUND('Annexure -I'!E9/2,0.1)</f>
        <v>1570</v>
      </c>
      <c r="BP68" s="153">
        <v>0</v>
      </c>
      <c r="BQ68" s="153">
        <f>ROUND('Annexure -I'!G9/2,0.1)</f>
        <v>0</v>
      </c>
      <c r="BR68" s="153">
        <f>ROUND('Annexure -I'!H9/2,0.1)</f>
        <v>0</v>
      </c>
      <c r="BS68" s="153">
        <v>0</v>
      </c>
      <c r="BT68" s="153">
        <f>ROUND('Annexure -I'!J9/2,0.1)</f>
        <v>110</v>
      </c>
      <c r="BU68" s="153">
        <v>0</v>
      </c>
      <c r="BV68" s="153">
        <f t="shared" si="4"/>
        <v>11882</v>
      </c>
    </row>
    <row r="69" spans="1:74" ht="26.25" customHeight="1" hidden="1" thickBot="1">
      <c r="A69" s="152"/>
      <c r="B69" s="153"/>
      <c r="C69" s="154"/>
      <c r="D69" s="154"/>
      <c r="E69" s="154"/>
      <c r="F69" s="153"/>
      <c r="G69" s="153"/>
      <c r="H69" s="153"/>
      <c r="I69" s="153"/>
      <c r="J69" s="153"/>
      <c r="K69" s="153"/>
      <c r="L69" s="153"/>
      <c r="M69" s="173">
        <v>1</v>
      </c>
      <c r="N69" s="65">
        <f>IF($AC$52=1,"Maintaince for Below 80% disabled Employee","")</f>
      </c>
      <c r="O69" s="65"/>
      <c r="P69" s="65"/>
      <c r="Q69" s="65"/>
      <c r="R69" s="66">
        <f>IF($AC$52=1,50000,0)</f>
        <v>0</v>
      </c>
      <c r="Y69" s="153">
        <f>IF(AA72=2,"","17")</f>
      </c>
      <c r="AA69" s="153">
        <v>12</v>
      </c>
      <c r="AB69" s="153" t="s">
        <v>546</v>
      </c>
      <c r="AC69" s="182" t="s">
        <v>174</v>
      </c>
      <c r="BJ69" s="153">
        <v>13</v>
      </c>
      <c r="BK69" s="153" t="s">
        <v>555</v>
      </c>
      <c r="BM69" s="153">
        <f>'Annexure -I'!C9</f>
        <v>15700</v>
      </c>
      <c r="BN69" s="153">
        <f>'Annexure -I'!D9</f>
        <v>4704</v>
      </c>
      <c r="BO69" s="153">
        <f>'Annexure -I'!E9</f>
        <v>3140</v>
      </c>
      <c r="BP69" s="153">
        <v>0</v>
      </c>
      <c r="BQ69" s="153">
        <f>'Annexure -I'!G9</f>
        <v>0</v>
      </c>
      <c r="BR69" s="153">
        <f>'Annexure -I'!H9</f>
        <v>0</v>
      </c>
      <c r="BS69" s="153">
        <v>0</v>
      </c>
      <c r="BT69" s="153">
        <f>'Annexure -I'!J9</f>
        <v>220</v>
      </c>
      <c r="BU69" s="153">
        <v>0</v>
      </c>
      <c r="BV69" s="153">
        <f t="shared" si="4"/>
        <v>23764</v>
      </c>
    </row>
    <row r="70" spans="1:74" ht="26.25" customHeight="1" hidden="1" thickBot="1">
      <c r="A70" s="152"/>
      <c r="B70" s="153"/>
      <c r="C70" s="154"/>
      <c r="D70" s="154"/>
      <c r="E70" s="154"/>
      <c r="F70" s="153"/>
      <c r="G70" s="153"/>
      <c r="H70" s="153"/>
      <c r="I70" s="153"/>
      <c r="J70" s="153"/>
      <c r="K70" s="153"/>
      <c r="L70" s="153"/>
      <c r="M70" s="153">
        <v>2</v>
      </c>
      <c r="N70" s="65">
        <f>IF($AC$52=1,"Maintaince for 80% and above disabled Employee","")</f>
      </c>
      <c r="O70" s="153"/>
      <c r="P70" s="153"/>
      <c r="R70" s="153">
        <f>IF($AC$52=1,75000,0)</f>
        <v>0</v>
      </c>
      <c r="Y70" s="153">
        <f>IF(AA72=2,"","18")</f>
      </c>
      <c r="AA70" s="153">
        <v>13</v>
      </c>
      <c r="AB70" s="153" t="s">
        <v>547</v>
      </c>
      <c r="AC70" s="182" t="s">
        <v>175</v>
      </c>
      <c r="BJ70" s="153">
        <v>14</v>
      </c>
      <c r="BK70" s="153" t="s">
        <v>556</v>
      </c>
      <c r="BM70" s="153">
        <f>ROUND('Annexure -I'!C10/2,0.1)</f>
        <v>7850</v>
      </c>
      <c r="BN70" s="153">
        <f>ROUND('Annexure -I'!D10/2,0.1)</f>
        <v>2352</v>
      </c>
      <c r="BO70" s="153">
        <f>ROUND('Annexure -I'!E10/2,0.1)</f>
        <v>1570</v>
      </c>
      <c r="BP70" s="153">
        <v>0</v>
      </c>
      <c r="BQ70" s="153">
        <f>ROUND('Annexure -I'!G10/2,0.1)</f>
        <v>0</v>
      </c>
      <c r="BR70" s="153">
        <f>ROUND('Annexure -I'!H10/2,0.1)</f>
        <v>0</v>
      </c>
      <c r="BS70" s="153">
        <v>0</v>
      </c>
      <c r="BT70" s="153">
        <f>ROUND('Annexure -I'!J10/2,0.1)</f>
        <v>110</v>
      </c>
      <c r="BU70" s="153">
        <v>0</v>
      </c>
      <c r="BV70" s="153">
        <f t="shared" si="4"/>
        <v>11882</v>
      </c>
    </row>
    <row r="71" spans="1:74" ht="26.25" customHeight="1" hidden="1">
      <c r="A71" s="152"/>
      <c r="B71" s="153"/>
      <c r="C71" s="154"/>
      <c r="D71" s="154"/>
      <c r="E71" s="154"/>
      <c r="F71" s="153"/>
      <c r="G71" s="153"/>
      <c r="H71" s="153"/>
      <c r="I71" s="153"/>
      <c r="J71" s="153"/>
      <c r="K71" s="153"/>
      <c r="L71" s="153"/>
      <c r="M71" s="153"/>
      <c r="N71" s="153"/>
      <c r="O71" s="153"/>
      <c r="P71" s="153"/>
      <c r="Y71" s="153">
        <f>IF(AA72=2,"","19")</f>
      </c>
      <c r="BJ71" s="153">
        <v>15</v>
      </c>
      <c r="BK71" s="153" t="s">
        <v>557</v>
      </c>
      <c r="BM71" s="153">
        <f>'Annexure -I'!C10</f>
        <v>15700</v>
      </c>
      <c r="BN71" s="153">
        <f>'Annexure -I'!D10</f>
        <v>4704</v>
      </c>
      <c r="BO71" s="153">
        <f>'Annexure -I'!E10</f>
        <v>3140</v>
      </c>
      <c r="BP71" s="153">
        <v>0</v>
      </c>
      <c r="BQ71" s="153">
        <f>'Annexure -I'!G10</f>
        <v>0</v>
      </c>
      <c r="BR71" s="153">
        <f>'Annexure -I'!H10</f>
        <v>0</v>
      </c>
      <c r="BS71" s="153">
        <v>0</v>
      </c>
      <c r="BT71" s="153">
        <f>'Annexure -I'!J10</f>
        <v>220</v>
      </c>
      <c r="BU71" s="153">
        <v>0</v>
      </c>
      <c r="BV71" s="153">
        <f t="shared" si="4"/>
        <v>23764</v>
      </c>
    </row>
    <row r="72" spans="1:74" ht="26.25" customHeight="1" hidden="1">
      <c r="A72" s="152"/>
      <c r="B72" s="153"/>
      <c r="C72" s="154"/>
      <c r="D72" s="154"/>
      <c r="E72" s="154"/>
      <c r="F72" s="153"/>
      <c r="G72" s="153"/>
      <c r="H72" s="153" t="str">
        <f>CONCATENATE("Leaving in : ",N72)</f>
        <v>Leaving in : Rented House</v>
      </c>
      <c r="I72" s="153"/>
      <c r="J72" s="153"/>
      <c r="K72" s="153"/>
      <c r="L72" s="153"/>
      <c r="M72" s="153">
        <v>2</v>
      </c>
      <c r="N72" s="153" t="str">
        <f>VLOOKUP(M72,M73:N74,2,)</f>
        <v>Rented House</v>
      </c>
      <c r="O72" s="153"/>
      <c r="P72" s="153" t="str">
        <f>VLOOKUP(M72,M73:P74,4,0)</f>
        <v>To get HRA Exemption, your Rent will be Rs. 5500</v>
      </c>
      <c r="Y72" s="153">
        <f>IF(AA72=2,"","20")</f>
      </c>
      <c r="AA72" s="186">
        <f>AA52</f>
        <v>2</v>
      </c>
      <c r="BJ72" s="153">
        <v>16</v>
      </c>
      <c r="BK72" s="153" t="s">
        <v>558</v>
      </c>
      <c r="BM72" s="153">
        <f>ROUND('Annexure -I'!C11/2,0.1)</f>
        <v>7850</v>
      </c>
      <c r="BN72" s="153">
        <f>ROUND('Annexure -I'!D11/2,0.1)</f>
        <v>2352</v>
      </c>
      <c r="BO72" s="153">
        <f>ROUND('Annexure -I'!E11/2,0.1)</f>
        <v>1570</v>
      </c>
      <c r="BP72" s="153">
        <v>0</v>
      </c>
      <c r="BQ72" s="153">
        <f>ROUND('Annexure -I'!G11/2,0.1)</f>
        <v>0</v>
      </c>
      <c r="BR72" s="153">
        <f>ROUND('Annexure -I'!H11/2,0.1)</f>
        <v>0</v>
      </c>
      <c r="BS72" s="153">
        <v>0</v>
      </c>
      <c r="BT72" s="153">
        <f>ROUND('Annexure -I'!J11/2,0.1)</f>
        <v>110</v>
      </c>
      <c r="BU72" s="153">
        <v>0</v>
      </c>
      <c r="BV72" s="153">
        <f t="shared" si="4"/>
        <v>11882</v>
      </c>
    </row>
    <row r="73" spans="1:74" ht="26.25" customHeight="1" hidden="1">
      <c r="A73" s="152"/>
      <c r="B73" s="153"/>
      <c r="C73" s="154"/>
      <c r="D73" s="154"/>
      <c r="E73" s="154"/>
      <c r="F73" s="153"/>
      <c r="G73" s="153"/>
      <c r="H73" s="153"/>
      <c r="I73" s="153"/>
      <c r="J73" s="153"/>
      <c r="K73" s="153"/>
      <c r="L73" s="153"/>
      <c r="M73" s="153">
        <v>1</v>
      </c>
      <c r="N73" s="153" t="s">
        <v>293</v>
      </c>
      <c r="O73" s="153"/>
      <c r="P73" s="153" t="s">
        <v>530</v>
      </c>
      <c r="Y73" s="153">
        <f>IF(AA72=2,"","21")</f>
      </c>
      <c r="AA73" s="153" t="s">
        <v>162</v>
      </c>
      <c r="AB73" s="153">
        <f>IF(AA72=2,"","March,11")</f>
      </c>
      <c r="AC73" s="153">
        <v>31</v>
      </c>
      <c r="BJ73" s="153">
        <v>17</v>
      </c>
      <c r="BK73" s="153" t="s">
        <v>559</v>
      </c>
      <c r="BM73" s="153">
        <f>'Annexure -I'!C11</f>
        <v>15700</v>
      </c>
      <c r="BN73" s="153">
        <f>'Annexure -I'!D11</f>
        <v>4704</v>
      </c>
      <c r="BO73" s="153">
        <f>'Annexure -I'!E11</f>
        <v>3140</v>
      </c>
      <c r="BP73" s="153">
        <v>0</v>
      </c>
      <c r="BQ73" s="153">
        <f>'Annexure -I'!G11</f>
        <v>0</v>
      </c>
      <c r="BR73" s="153">
        <f>'Annexure -I'!H11</f>
        <v>0</v>
      </c>
      <c r="BS73" s="153">
        <v>0</v>
      </c>
      <c r="BT73" s="153">
        <f>'Annexure -I'!J11</f>
        <v>220</v>
      </c>
      <c r="BU73" s="153">
        <v>0</v>
      </c>
      <c r="BV73" s="153">
        <f t="shared" si="4"/>
        <v>23764</v>
      </c>
    </row>
    <row r="74" spans="1:74" ht="26.25" customHeight="1" hidden="1">
      <c r="A74" s="152"/>
      <c r="B74" s="153"/>
      <c r="C74" s="154"/>
      <c r="D74" s="154"/>
      <c r="E74" s="154"/>
      <c r="F74" s="153"/>
      <c r="G74" s="153"/>
      <c r="H74" s="153"/>
      <c r="I74" s="153"/>
      <c r="J74" s="153"/>
      <c r="K74" s="153"/>
      <c r="L74" s="153"/>
      <c r="M74" s="153">
        <v>2</v>
      </c>
      <c r="N74" s="153" t="s">
        <v>15</v>
      </c>
      <c r="O74" s="153"/>
      <c r="P74" s="349" t="str">
        <f>CONCATENATE("To get HRA Exemption, your Rent will be Rs. ",P82)</f>
        <v>To get HRA Exemption, your Rent will be Rs. 5500</v>
      </c>
      <c r="Y74" s="153">
        <f>IF(AA72=2,"","22")</f>
      </c>
      <c r="AA74" s="187">
        <v>2</v>
      </c>
      <c r="AB74" s="153">
        <f>IF(AA72=2,"","April,11")</f>
      </c>
      <c r="AC74" s="153">
        <v>30</v>
      </c>
      <c r="BJ74" s="153">
        <v>18</v>
      </c>
      <c r="BK74" s="153" t="s">
        <v>560</v>
      </c>
      <c r="BM74" s="153">
        <f>ROUND('Annexure -I'!C12/2,0.1)</f>
        <v>7850</v>
      </c>
      <c r="BN74" s="153">
        <f>ROUND('Annexure -I'!D12/2,0.1)</f>
        <v>2352</v>
      </c>
      <c r="BO74" s="153">
        <f>ROUND('Annexure -I'!E12/2,0.1)</f>
        <v>1570</v>
      </c>
      <c r="BP74" s="153">
        <v>0</v>
      </c>
      <c r="BQ74" s="153">
        <f>ROUND('Annexure -I'!G12/2,0.1)</f>
        <v>0</v>
      </c>
      <c r="BR74" s="153">
        <f>ROUND('Annexure -I'!H12/2,0.1)</f>
        <v>0</v>
      </c>
      <c r="BS74" s="153">
        <v>0</v>
      </c>
      <c r="BT74" s="153">
        <f>ROUND('Annexure -I'!J12/2,0.1)</f>
        <v>110</v>
      </c>
      <c r="BU74" s="153">
        <v>0</v>
      </c>
      <c r="BV74" s="153">
        <f t="shared" si="4"/>
        <v>11882</v>
      </c>
    </row>
    <row r="75" spans="1:74" ht="26.25" customHeight="1" hidden="1">
      <c r="A75" s="152"/>
      <c r="B75" s="153"/>
      <c r="C75" s="154"/>
      <c r="D75" s="154"/>
      <c r="E75" s="154"/>
      <c r="F75" s="153"/>
      <c r="G75" s="153"/>
      <c r="H75" s="153"/>
      <c r="I75" s="153"/>
      <c r="J75" s="153"/>
      <c r="K75" s="153"/>
      <c r="L75" s="153"/>
      <c r="M75" s="153"/>
      <c r="N75" s="153"/>
      <c r="O75" s="153"/>
      <c r="P75" s="153"/>
      <c r="Y75" s="153">
        <f>IF(AA72=2,"","23")</f>
      </c>
      <c r="AA75" s="153" t="str">
        <f>VLOOKUP(AA74+1,AA58:AB69,2,0)</f>
        <v>April,11</v>
      </c>
      <c r="AB75" s="153">
        <f>IF(AA72=2,"","May,11")</f>
      </c>
      <c r="AC75" s="153">
        <v>31</v>
      </c>
      <c r="BJ75" s="153">
        <v>19</v>
      </c>
      <c r="BK75" s="153" t="s">
        <v>561</v>
      </c>
      <c r="BM75" s="153">
        <f>'Annexure -I'!C12</f>
        <v>15700</v>
      </c>
      <c r="BN75" s="153">
        <f>'Annexure -I'!D12</f>
        <v>4704</v>
      </c>
      <c r="BO75" s="153">
        <f>'Annexure -I'!E12</f>
        <v>3140</v>
      </c>
      <c r="BP75" s="153">
        <v>0</v>
      </c>
      <c r="BQ75" s="153">
        <f>'Annexure -I'!G12</f>
        <v>0</v>
      </c>
      <c r="BR75" s="153">
        <f>'Annexure -I'!H12</f>
        <v>0</v>
      </c>
      <c r="BS75" s="153">
        <v>0</v>
      </c>
      <c r="BT75" s="153">
        <f>'Annexure -I'!J12</f>
        <v>220</v>
      </c>
      <c r="BU75" s="153">
        <v>0</v>
      </c>
      <c r="BV75" s="153">
        <f t="shared" si="4"/>
        <v>23764</v>
      </c>
    </row>
    <row r="76" spans="1:74" ht="26.25" customHeight="1" hidden="1">
      <c r="A76" s="152"/>
      <c r="B76" s="153"/>
      <c r="C76" s="154"/>
      <c r="D76" s="154"/>
      <c r="E76" s="154"/>
      <c r="F76" s="153"/>
      <c r="G76" s="153"/>
      <c r="H76" s="153"/>
      <c r="I76" s="153"/>
      <c r="J76" s="153"/>
      <c r="K76" s="153"/>
      <c r="L76" s="153"/>
      <c r="M76" s="153"/>
      <c r="N76" s="153"/>
      <c r="O76" s="153"/>
      <c r="P76" s="153" t="s">
        <v>4</v>
      </c>
      <c r="Q76" s="153">
        <f>'Annexure -I'!E24</f>
        <v>38772</v>
      </c>
      <c r="Y76" s="153">
        <f>IF(AA72=2,"","24")</f>
      </c>
      <c r="AB76" s="153">
        <f>IF(AA72=2,"","June,11")</f>
      </c>
      <c r="AC76" s="153">
        <v>30</v>
      </c>
      <c r="BJ76" s="153">
        <v>20</v>
      </c>
      <c r="BK76" s="153" t="s">
        <v>562</v>
      </c>
      <c r="BM76" s="153">
        <f>ROUND('Annexure -I'!C13/2,0.1)</f>
        <v>7850</v>
      </c>
      <c r="BN76" s="153">
        <f>ROUND('Annexure -I'!D13/2,0.1)</f>
        <v>2352</v>
      </c>
      <c r="BO76" s="153">
        <f>ROUND('Annexure -I'!E13/2,0.1)</f>
        <v>1570</v>
      </c>
      <c r="BP76" s="153">
        <v>0</v>
      </c>
      <c r="BQ76" s="153">
        <f>ROUND('Annexure -I'!G13/2,0.1)</f>
        <v>0</v>
      </c>
      <c r="BR76" s="153">
        <f>ROUND('Annexure -I'!H13/2,0.1)</f>
        <v>0</v>
      </c>
      <c r="BS76" s="153">
        <v>0</v>
      </c>
      <c r="BT76" s="153">
        <f>ROUND('Annexure -I'!J13/2,0.1)</f>
        <v>110</v>
      </c>
      <c r="BU76" s="153">
        <v>0</v>
      </c>
      <c r="BV76" s="153">
        <f t="shared" si="4"/>
        <v>11882</v>
      </c>
    </row>
    <row r="77" spans="1:74" ht="26.25" customHeight="1" hidden="1">
      <c r="A77" s="152"/>
      <c r="B77" s="153"/>
      <c r="C77" s="154"/>
      <c r="D77" s="154"/>
      <c r="E77" s="154"/>
      <c r="F77" s="153"/>
      <c r="G77" s="153"/>
      <c r="H77" s="153"/>
      <c r="I77" s="153"/>
      <c r="J77" s="153"/>
      <c r="K77" s="153"/>
      <c r="L77" s="153"/>
      <c r="M77" s="153"/>
      <c r="N77" s="153"/>
      <c r="O77" s="153"/>
      <c r="P77" s="153" t="s">
        <v>2</v>
      </c>
      <c r="Q77" s="188">
        <f>'Annexure -I'!C24</f>
        <v>193860</v>
      </c>
      <c r="Y77" s="153">
        <f>IF(AA72=2,"","25")</f>
      </c>
      <c r="AB77" s="153">
        <f>IF(AA72=2,"","July,11")</f>
      </c>
      <c r="AC77" s="153">
        <v>31</v>
      </c>
      <c r="BJ77" s="153">
        <v>21</v>
      </c>
      <c r="BK77" s="153" t="s">
        <v>563</v>
      </c>
      <c r="BM77" s="153">
        <f>'Annexure -I'!C13</f>
        <v>15700</v>
      </c>
      <c r="BN77" s="153">
        <f>'Annexure -I'!D13</f>
        <v>4704</v>
      </c>
      <c r="BO77" s="153">
        <f>'Annexure -I'!E13</f>
        <v>3140</v>
      </c>
      <c r="BP77" s="153">
        <v>0</v>
      </c>
      <c r="BQ77" s="153">
        <f>'Annexure -I'!G13</f>
        <v>0</v>
      </c>
      <c r="BR77" s="153">
        <f>'Annexure -I'!H13</f>
        <v>0</v>
      </c>
      <c r="BS77" s="153">
        <v>0</v>
      </c>
      <c r="BT77" s="153">
        <f>'Annexure -I'!J13</f>
        <v>220</v>
      </c>
      <c r="BU77" s="153">
        <v>0</v>
      </c>
      <c r="BV77" s="153">
        <f t="shared" si="4"/>
        <v>23764</v>
      </c>
    </row>
    <row r="78" spans="1:74" ht="26.25" customHeight="1" hidden="1">
      <c r="A78" s="152"/>
      <c r="B78" s="153"/>
      <c r="C78" s="154"/>
      <c r="D78" s="154"/>
      <c r="E78" s="154"/>
      <c r="F78" s="153"/>
      <c r="G78" s="153"/>
      <c r="H78" s="153"/>
      <c r="I78" s="153"/>
      <c r="J78" s="153"/>
      <c r="K78" s="153"/>
      <c r="L78" s="153"/>
      <c r="M78" s="153"/>
      <c r="N78" s="153"/>
      <c r="O78" s="153"/>
      <c r="P78" s="153" t="s">
        <v>3</v>
      </c>
      <c r="Q78" s="452">
        <f>'Annexure -I'!D24</f>
        <v>65770</v>
      </c>
      <c r="Y78" s="153">
        <f>IF(AA72=2,"","26")</f>
      </c>
      <c r="AB78" s="153">
        <f>IF(AA72=2,"","Aug,11")</f>
      </c>
      <c r="AC78" s="153">
        <v>31</v>
      </c>
      <c r="AK78" s="187" t="s">
        <v>201</v>
      </c>
      <c r="AL78" s="187" t="s">
        <v>3</v>
      </c>
      <c r="AM78" s="187" t="s">
        <v>4</v>
      </c>
      <c r="AN78" s="187" t="s">
        <v>186</v>
      </c>
      <c r="AO78" s="187" t="s">
        <v>202</v>
      </c>
      <c r="AP78" s="187" t="s">
        <v>3</v>
      </c>
      <c r="AQ78" s="187" t="s">
        <v>5</v>
      </c>
      <c r="AR78" s="187" t="s">
        <v>186</v>
      </c>
      <c r="AS78" s="187" t="s">
        <v>4</v>
      </c>
      <c r="AT78" s="187" t="s">
        <v>186</v>
      </c>
      <c r="AU78" s="187" t="s">
        <v>201</v>
      </c>
      <c r="AV78" s="187" t="s">
        <v>3</v>
      </c>
      <c r="AW78" s="187" t="s">
        <v>4</v>
      </c>
      <c r="AX78" s="187" t="s">
        <v>186</v>
      </c>
      <c r="BJ78" s="153">
        <v>22</v>
      </c>
      <c r="BK78" s="153" t="s">
        <v>564</v>
      </c>
      <c r="BM78" s="153">
        <f>ROUND('Annexure -I'!C14/2,0.1)</f>
        <v>7850</v>
      </c>
      <c r="BN78" s="153">
        <f>ROUND('Annexure -I'!D14/2,0.1)</f>
        <v>2352</v>
      </c>
      <c r="BO78" s="153">
        <f>ROUND('Annexure -I'!E14/2,0.1)</f>
        <v>1570</v>
      </c>
      <c r="BP78" s="153">
        <v>0</v>
      </c>
      <c r="BQ78" s="153">
        <f>ROUND('Annexure -I'!G14/2,0.1)</f>
        <v>0</v>
      </c>
      <c r="BR78" s="153">
        <f>ROUND('Annexure -I'!H14/2,0.1)</f>
        <v>0</v>
      </c>
      <c r="BS78" s="153">
        <v>0</v>
      </c>
      <c r="BT78" s="153">
        <f>ROUND('Annexure -I'!J14/2,0.1)</f>
        <v>110</v>
      </c>
      <c r="BU78" s="153">
        <v>0</v>
      </c>
      <c r="BV78" s="153">
        <f t="shared" si="4"/>
        <v>11882</v>
      </c>
    </row>
    <row r="79" spans="1:74" ht="26.25" customHeight="1" hidden="1">
      <c r="A79" s="152"/>
      <c r="B79" s="153"/>
      <c r="C79" s="154"/>
      <c r="D79" s="154"/>
      <c r="E79" s="154"/>
      <c r="F79" s="153"/>
      <c r="G79" s="153"/>
      <c r="H79" s="153"/>
      <c r="I79" s="153"/>
      <c r="J79" s="153"/>
      <c r="K79" s="153"/>
      <c r="L79" s="153"/>
      <c r="M79" s="153"/>
      <c r="N79" s="153"/>
      <c r="O79" s="153"/>
      <c r="P79" s="153" t="s">
        <v>186</v>
      </c>
      <c r="Q79" s="188">
        <f>SUM(Q77:Q78)</f>
        <v>259630</v>
      </c>
      <c r="Y79" s="153">
        <f>IF(AA72=2,"","27")</f>
      </c>
      <c r="AB79" s="153">
        <f>IF(AA72=2,"","Sept,11")</f>
      </c>
      <c r="AC79" s="153">
        <v>30</v>
      </c>
      <c r="AK79" s="187">
        <f>AB171</f>
        <v>15280</v>
      </c>
      <c r="AL79" s="187">
        <f>ROUND(AK79*9.416/100,0.1)</f>
        <v>1439</v>
      </c>
      <c r="AM79" s="187">
        <f>ROUND(AK79*U109/100,0.1)</f>
        <v>3056</v>
      </c>
      <c r="AN79" s="187">
        <f>SUM(AK79:AM79)</f>
        <v>19775</v>
      </c>
      <c r="AO79" s="187">
        <f>AD169</f>
        <v>15280</v>
      </c>
      <c r="AP79" s="187">
        <f>ROUND(AO79*60.288/100,0.1)</f>
        <v>9212</v>
      </c>
      <c r="AQ79" s="187">
        <f>ROUND(AO79*0.22,0.1)</f>
        <v>3362</v>
      </c>
      <c r="AR79" s="187">
        <f>SUM(AO79:AQ79)</f>
        <v>27854</v>
      </c>
      <c r="AS79" s="187">
        <f>ROUND(AO79*U109/100,0.1)</f>
        <v>3056</v>
      </c>
      <c r="AT79" s="187">
        <f>SUM(AR79:AS79)</f>
        <v>30910</v>
      </c>
      <c r="AU79" s="187">
        <f>AK79-AR79</f>
        <v>-12574</v>
      </c>
      <c r="AV79" s="187">
        <f>AL79</f>
        <v>1439</v>
      </c>
      <c r="AW79" s="187">
        <f>AM79-AS79</f>
        <v>0</v>
      </c>
      <c r="AX79" s="187">
        <f>SUM(AU79:AW79)</f>
        <v>-11135</v>
      </c>
      <c r="BJ79" s="153">
        <v>23</v>
      </c>
      <c r="BK79" s="153" t="s">
        <v>565</v>
      </c>
      <c r="BM79" s="153">
        <f>'Annexure -I'!C14</f>
        <v>15700</v>
      </c>
      <c r="BN79" s="153">
        <f>'Annexure -I'!D14</f>
        <v>4704</v>
      </c>
      <c r="BO79" s="153">
        <f>'Annexure -I'!E14</f>
        <v>3140</v>
      </c>
      <c r="BP79" s="153">
        <v>0</v>
      </c>
      <c r="BQ79" s="153">
        <f>'Annexure -I'!G14</f>
        <v>0</v>
      </c>
      <c r="BR79" s="153">
        <f>'Annexure -I'!H14</f>
        <v>0</v>
      </c>
      <c r="BS79" s="153">
        <v>0</v>
      </c>
      <c r="BT79" s="153">
        <f>'Annexure -I'!J14</f>
        <v>220</v>
      </c>
      <c r="BU79" s="153">
        <v>0</v>
      </c>
      <c r="BV79" s="153">
        <f t="shared" si="4"/>
        <v>23764</v>
      </c>
    </row>
    <row r="80" spans="1:74" ht="26.25" customHeight="1" hidden="1">
      <c r="A80" s="152"/>
      <c r="B80" s="153"/>
      <c r="C80" s="154"/>
      <c r="D80" s="154"/>
      <c r="E80" s="154"/>
      <c r="F80" s="153"/>
      <c r="G80" s="153"/>
      <c r="H80" s="153"/>
      <c r="I80" s="153"/>
      <c r="J80" s="153"/>
      <c r="K80" s="153"/>
      <c r="L80" s="153"/>
      <c r="M80" s="153"/>
      <c r="N80" s="153"/>
      <c r="O80" s="153"/>
      <c r="P80" s="153"/>
      <c r="Q80" s="189">
        <f>ROUND(Q79*10%,0.1)</f>
        <v>25963</v>
      </c>
      <c r="Y80" s="153">
        <f>IF(AA72=2,"","28")</f>
      </c>
      <c r="AB80" s="153">
        <f>IF(AA72=2,"","Oct,11")</f>
      </c>
      <c r="AC80" s="153">
        <v>31</v>
      </c>
      <c r="BJ80" s="153">
        <v>24</v>
      </c>
      <c r="BK80" s="153" t="s">
        <v>567</v>
      </c>
      <c r="BM80" s="153">
        <f>ROUND('Annexure -I'!C15/2,0.1)</f>
        <v>7850</v>
      </c>
      <c r="BN80" s="153">
        <f>ROUND('Annexure -I'!D15/2,0.1)</f>
        <v>2352</v>
      </c>
      <c r="BO80" s="153">
        <f>ROUND('Annexure -I'!E15/2,0.1)</f>
        <v>1570</v>
      </c>
      <c r="BP80" s="153">
        <v>0</v>
      </c>
      <c r="BQ80" s="153">
        <f>ROUND('Annexure -I'!G15/2,0.1)</f>
        <v>0</v>
      </c>
      <c r="BR80" s="153">
        <f>ROUND('Annexure -I'!H15/2,0.1)</f>
        <v>0</v>
      </c>
      <c r="BS80" s="153">
        <v>0</v>
      </c>
      <c r="BT80" s="153">
        <f>ROUND('Annexure -I'!J15/2,0.1)</f>
        <v>110</v>
      </c>
      <c r="BU80" s="153">
        <v>0</v>
      </c>
      <c r="BV80" s="153">
        <f t="shared" si="4"/>
        <v>11882</v>
      </c>
    </row>
    <row r="81" spans="1:74" ht="26.25" customHeight="1" hidden="1">
      <c r="A81" s="152"/>
      <c r="B81" s="153"/>
      <c r="C81" s="154"/>
      <c r="D81" s="154"/>
      <c r="E81" s="154"/>
      <c r="F81" s="153"/>
      <c r="G81" s="153"/>
      <c r="H81" s="153"/>
      <c r="I81" s="153"/>
      <c r="J81" s="153"/>
      <c r="K81" s="153"/>
      <c r="L81" s="153"/>
      <c r="M81" s="153"/>
      <c r="N81" s="153"/>
      <c r="O81" s="153"/>
      <c r="P81" s="153"/>
      <c r="Y81" s="153">
        <f>IF(AA72=2,"","29")</f>
      </c>
      <c r="AB81" s="153">
        <f>IF(AA72=2,"","Nov,11")</f>
      </c>
      <c r="AC81" s="153">
        <v>30</v>
      </c>
      <c r="BJ81" s="153">
        <v>25</v>
      </c>
      <c r="BK81" s="153" t="s">
        <v>566</v>
      </c>
      <c r="BM81" s="153">
        <f>'Annexure -I'!C15</f>
        <v>15700</v>
      </c>
      <c r="BN81" s="153">
        <f>'Annexure -I'!D15</f>
        <v>4704</v>
      </c>
      <c r="BO81" s="153">
        <f>'Annexure -I'!E15</f>
        <v>3140</v>
      </c>
      <c r="BP81" s="153">
        <v>0</v>
      </c>
      <c r="BQ81" s="153">
        <f>'Annexure -I'!G15</f>
        <v>0</v>
      </c>
      <c r="BR81" s="153">
        <f>'Annexure -I'!H15</f>
        <v>0</v>
      </c>
      <c r="BS81" s="153">
        <v>0</v>
      </c>
      <c r="BT81" s="153">
        <f>'Annexure -I'!J15</f>
        <v>220</v>
      </c>
      <c r="BU81" s="153">
        <v>0</v>
      </c>
      <c r="BV81" s="153">
        <f t="shared" si="4"/>
        <v>23764</v>
      </c>
    </row>
    <row r="82" spans="1:74" ht="26.25" customHeight="1" hidden="1" thickBot="1">
      <c r="A82" s="152"/>
      <c r="B82" s="153"/>
      <c r="C82" s="154"/>
      <c r="D82" s="154"/>
      <c r="E82" s="154"/>
      <c r="F82" s="153"/>
      <c r="G82" s="153"/>
      <c r="H82" s="153"/>
      <c r="I82" s="153"/>
      <c r="J82" s="153"/>
      <c r="K82" s="153"/>
      <c r="L82" s="153"/>
      <c r="M82" s="153"/>
      <c r="N82" s="153"/>
      <c r="O82" s="153"/>
      <c r="P82" s="153">
        <f>ROUND((Q76+Q80)/12,-2)+100</f>
        <v>5500</v>
      </c>
      <c r="Q82" s="153">
        <f>IF(ROUND(Q83*12-Q80,0.1)&gt;0,ROUND(Q83*12-Q80,0.1),0)</f>
        <v>34037</v>
      </c>
      <c r="Y82" s="153">
        <f>IF(AA72=2,"","30")</f>
      </c>
      <c r="AB82" s="153">
        <f>IF(AA72=2,"","Dec,11")</f>
      </c>
      <c r="AC82" s="153">
        <v>31</v>
      </c>
      <c r="AK82" s="153" t="s">
        <v>203</v>
      </c>
      <c r="BV82" s="153">
        <f t="shared" si="4"/>
        <v>0</v>
      </c>
    </row>
    <row r="83" spans="1:74" ht="26.25" customHeight="1" hidden="1">
      <c r="A83" s="152"/>
      <c r="B83" s="153"/>
      <c r="C83" s="154"/>
      <c r="D83" s="154"/>
      <c r="E83" s="154"/>
      <c r="F83" s="153"/>
      <c r="G83" s="153"/>
      <c r="H83" s="153"/>
      <c r="I83" s="153"/>
      <c r="J83" s="153"/>
      <c r="K83" s="153"/>
      <c r="L83" s="153"/>
      <c r="M83" s="153"/>
      <c r="N83" s="153"/>
      <c r="O83" s="190" t="s">
        <v>250</v>
      </c>
      <c r="P83" s="190" t="s">
        <v>296</v>
      </c>
      <c r="Q83" s="191">
        <f>P17</f>
        <v>5000</v>
      </c>
      <c r="R83" s="191" t="s">
        <v>297</v>
      </c>
      <c r="U83" s="192">
        <v>2</v>
      </c>
      <c r="V83" s="170" t="s">
        <v>163</v>
      </c>
      <c r="Y83" s="153">
        <f>IF(AA72=2,"","31")</f>
      </c>
      <c r="AB83" s="153">
        <f>IF(AA72=2,"","Jan,12")</f>
      </c>
      <c r="AC83" s="153">
        <v>31</v>
      </c>
      <c r="AM83" s="153" t="s">
        <v>205</v>
      </c>
      <c r="AN83" s="153" t="s">
        <v>207</v>
      </c>
      <c r="BM83" s="153">
        <f>VLOOKUP(BJ55,BJ57:BR81,4,0)</f>
        <v>0</v>
      </c>
      <c r="BN83" s="153">
        <f>VLOOKUP(BJ55,BJ57:BR81,5,0)</f>
        <v>0</v>
      </c>
      <c r="BO83" s="153">
        <f>VLOOKUP(BJ55,BJ57:BT81,6,0)</f>
        <v>0</v>
      </c>
      <c r="BP83" s="153">
        <v>0</v>
      </c>
      <c r="BQ83" s="153">
        <f>VLOOKUP(BJ55,BJ57:BR81,8,0)</f>
        <v>0</v>
      </c>
      <c r="BR83" s="153">
        <f>VLOOKUP(BJ55,BJ57:BT81,9,0)</f>
        <v>0</v>
      </c>
      <c r="BS83" s="153">
        <v>0</v>
      </c>
      <c r="BT83" s="153">
        <f>VLOOKUP(BJ55,BJ57:BT81,11,0)</f>
        <v>0</v>
      </c>
      <c r="BU83" s="153">
        <v>0</v>
      </c>
      <c r="BV83" s="153">
        <f t="shared" si="4"/>
        <v>0</v>
      </c>
    </row>
    <row r="84" spans="1:41" ht="26.25" customHeight="1" hidden="1" thickBot="1">
      <c r="A84" s="152"/>
      <c r="B84" s="153"/>
      <c r="C84" s="154"/>
      <c r="D84" s="154"/>
      <c r="E84" s="154"/>
      <c r="F84" s="153"/>
      <c r="G84" s="153"/>
      <c r="H84" s="153"/>
      <c r="I84" s="153"/>
      <c r="J84" s="153"/>
      <c r="K84" s="153"/>
      <c r="L84" s="153"/>
      <c r="M84" s="153"/>
      <c r="N84" s="153"/>
      <c r="O84" s="153" t="str">
        <f>CONCATENATE(O83,P83,Q83,R83)</f>
        <v>Rent paid in excess of 10% Salary(Rent: @ 5000/-PM)</v>
      </c>
      <c r="P84" s="153"/>
      <c r="U84" s="173" t="str">
        <f>VLOOKUP(U83,AA53:AB54,2,0)</f>
        <v>No</v>
      </c>
      <c r="V84" s="180"/>
      <c r="AB84" s="153">
        <f>IF(AA72=2,"","Feb,12")</f>
      </c>
      <c r="AC84" s="153">
        <v>28</v>
      </c>
      <c r="AK84" s="162" t="s">
        <v>157</v>
      </c>
      <c r="AL84" s="153">
        <f>AB171</f>
        <v>15280</v>
      </c>
      <c r="AM84" s="153">
        <f>ROUND(AL84*29.96/100,0.1)</f>
        <v>4578</v>
      </c>
      <c r="AN84" s="153">
        <f>ROUND(AL84*24.824/100,0.1)</f>
        <v>3793</v>
      </c>
      <c r="AO84" s="153">
        <f aca="true" t="shared" si="5" ref="AO84:AO92">AM84-AN84</f>
        <v>785</v>
      </c>
    </row>
    <row r="85" spans="1:41" ht="26.25" customHeight="1" hidden="1" thickBot="1">
      <c r="A85" s="152"/>
      <c r="B85" s="153"/>
      <c r="C85" s="154"/>
      <c r="D85" s="154"/>
      <c r="E85" s="154"/>
      <c r="F85" s="153"/>
      <c r="G85" s="153"/>
      <c r="H85" s="153"/>
      <c r="I85" s="153"/>
      <c r="J85" s="153"/>
      <c r="K85" s="153"/>
      <c r="L85" s="153"/>
      <c r="M85" s="153"/>
      <c r="N85" s="153"/>
      <c r="O85" s="153"/>
      <c r="P85" s="153"/>
      <c r="U85" s="168" t="s">
        <v>163</v>
      </c>
      <c r="V85" s="169"/>
      <c r="W85" s="169">
        <v>23</v>
      </c>
      <c r="X85" s="170"/>
      <c r="AD85" s="193">
        <v>3850</v>
      </c>
      <c r="AF85" s="169"/>
      <c r="AG85" s="155"/>
      <c r="AK85" s="162" t="s">
        <v>158</v>
      </c>
      <c r="AL85" s="153">
        <f>AB171</f>
        <v>15280</v>
      </c>
      <c r="AM85" s="153">
        <f>ROUND(AL85*29.96/100,0.1)</f>
        <v>4578</v>
      </c>
      <c r="AN85" s="153">
        <f>ROUND(AL85*24.824/100,0.1)</f>
        <v>3793</v>
      </c>
      <c r="AO85" s="153">
        <f t="shared" si="5"/>
        <v>785</v>
      </c>
    </row>
    <row r="86" spans="1:41" ht="26.25" customHeight="1" hidden="1">
      <c r="A86" s="152"/>
      <c r="B86" s="153"/>
      <c r="C86" s="154"/>
      <c r="D86" s="154"/>
      <c r="E86" s="154"/>
      <c r="F86" s="153"/>
      <c r="G86" s="153"/>
      <c r="H86" s="153"/>
      <c r="I86" s="153"/>
      <c r="J86" s="153"/>
      <c r="K86" s="153"/>
      <c r="L86" s="153"/>
      <c r="M86" s="153"/>
      <c r="N86" s="153" t="str">
        <f>IF(AA21=1,N89,N93)</f>
        <v>Up to Rs. 1,90,000</v>
      </c>
      <c r="O86" s="153"/>
      <c r="P86" s="153"/>
      <c r="U86" s="171"/>
      <c r="V86" s="155"/>
      <c r="W86" s="155">
        <v>11</v>
      </c>
      <c r="X86" s="172"/>
      <c r="AA86" s="168">
        <v>1</v>
      </c>
      <c r="AB86" s="169">
        <v>6700</v>
      </c>
      <c r="AC86" s="193">
        <v>3850</v>
      </c>
      <c r="AD86" s="194">
        <v>3950</v>
      </c>
      <c r="AE86" s="169">
        <v>6700</v>
      </c>
      <c r="AF86" s="155">
        <v>6900</v>
      </c>
      <c r="AG86" s="155">
        <v>7100</v>
      </c>
      <c r="AK86" s="162" t="str">
        <f>IF(AJ85=2,"","March,11")</f>
        <v>March,11</v>
      </c>
      <c r="AL86" s="153">
        <f>'Annexure -I'!C4</f>
        <v>15280</v>
      </c>
      <c r="AM86" s="153">
        <f>ROUND(AL86*29.96/100,0.1)</f>
        <v>4578</v>
      </c>
      <c r="AN86" s="153">
        <f>ROUND(AL86*24.824/100,0.1)</f>
        <v>3793</v>
      </c>
      <c r="AO86" s="153">
        <f t="shared" si="5"/>
        <v>785</v>
      </c>
    </row>
    <row r="87" spans="1:41" ht="26.25" customHeight="1" hidden="1" thickBot="1">
      <c r="A87" s="152"/>
      <c r="B87" s="153"/>
      <c r="C87" s="154"/>
      <c r="D87" s="154"/>
      <c r="E87" s="154"/>
      <c r="F87" s="153"/>
      <c r="G87" s="153"/>
      <c r="H87" s="153"/>
      <c r="I87" s="153"/>
      <c r="J87" s="153"/>
      <c r="K87" s="153"/>
      <c r="L87" s="153"/>
      <c r="M87" s="153"/>
      <c r="N87" s="153" t="str">
        <f>IF(AA21=1,N90,N94)</f>
        <v>Rs.1,90,001 To 5,00,000. (@ 10%)</v>
      </c>
      <c r="O87" s="153"/>
      <c r="P87" s="153"/>
      <c r="U87" s="173"/>
      <c r="V87" s="174"/>
      <c r="W87" s="174" t="str">
        <f>VLOOKUP(W86+1,AA58:AB69,2,0)</f>
        <v>Jan,12</v>
      </c>
      <c r="X87" s="180"/>
      <c r="AA87" s="171">
        <v>2</v>
      </c>
      <c r="AB87" s="155">
        <v>6900</v>
      </c>
      <c r="AC87" s="194">
        <v>3950</v>
      </c>
      <c r="AD87" s="194">
        <v>4050</v>
      </c>
      <c r="AE87" s="155">
        <v>6900</v>
      </c>
      <c r="AF87" s="155">
        <v>7100</v>
      </c>
      <c r="AG87" s="155">
        <v>7300</v>
      </c>
      <c r="AK87" s="162" t="str">
        <f>IF(AJ85=2,"","April,11")</f>
        <v>April,11</v>
      </c>
      <c r="AL87" s="153">
        <f>'Annexure -I'!C5</f>
        <v>15280</v>
      </c>
      <c r="AM87" s="153">
        <f>ROUND(AL87*29.96/100,0.1)</f>
        <v>4578</v>
      </c>
      <c r="AN87" s="153">
        <f>ROUND(AL87*24.824/100,0.1)</f>
        <v>3793</v>
      </c>
      <c r="AO87" s="153">
        <f t="shared" si="5"/>
        <v>785</v>
      </c>
    </row>
    <row r="88" spans="1:41" ht="26.25" customHeight="1" hidden="1">
      <c r="A88" s="152"/>
      <c r="B88" s="153"/>
      <c r="C88" s="154"/>
      <c r="D88" s="154"/>
      <c r="E88" s="154"/>
      <c r="F88" s="153"/>
      <c r="G88" s="153"/>
      <c r="H88" s="153"/>
      <c r="I88" s="153"/>
      <c r="J88" s="153"/>
      <c r="K88" s="153"/>
      <c r="L88" s="153"/>
      <c r="M88" s="153"/>
      <c r="N88" s="153"/>
      <c r="O88" s="153"/>
      <c r="P88" s="153"/>
      <c r="AA88" s="171">
        <v>3</v>
      </c>
      <c r="AB88" s="155">
        <v>7100</v>
      </c>
      <c r="AC88" s="194">
        <v>4050</v>
      </c>
      <c r="AD88" s="194">
        <v>4150</v>
      </c>
      <c r="AE88" s="155">
        <v>7100</v>
      </c>
      <c r="AF88" s="155">
        <v>7300</v>
      </c>
      <c r="AG88" s="155">
        <v>7520</v>
      </c>
      <c r="AK88" s="162" t="str">
        <f>IF(AJ85=2,"","May,11")</f>
        <v>May,11</v>
      </c>
      <c r="AL88" s="153">
        <f>'Annexure -I'!C6</f>
        <v>15280</v>
      </c>
      <c r="AM88" s="153">
        <v>0</v>
      </c>
      <c r="AN88" s="153">
        <v>0</v>
      </c>
      <c r="AO88" s="153">
        <f t="shared" si="5"/>
        <v>0</v>
      </c>
    </row>
    <row r="89" spans="1:42" ht="26.25" customHeight="1" hidden="1">
      <c r="A89" s="152"/>
      <c r="B89" s="153"/>
      <c r="C89" s="154"/>
      <c r="D89" s="154"/>
      <c r="E89" s="154"/>
      <c r="F89" s="153"/>
      <c r="G89" s="153"/>
      <c r="H89" s="153"/>
      <c r="I89" s="153"/>
      <c r="J89" s="153"/>
      <c r="K89" s="153"/>
      <c r="L89" s="153"/>
      <c r="M89" s="153"/>
      <c r="N89" s="190" t="s">
        <v>576</v>
      </c>
      <c r="O89" s="153"/>
      <c r="P89" s="153"/>
      <c r="U89" s="153">
        <v>1</v>
      </c>
      <c r="V89" s="153">
        <f>IF(U83=2,"","March,11")</f>
      </c>
      <c r="X89" s="153">
        <f>IF(U83=2,"","1")</f>
      </c>
      <c r="AA89" s="171">
        <v>4</v>
      </c>
      <c r="AB89" s="155">
        <v>7300</v>
      </c>
      <c r="AC89" s="194">
        <v>4150</v>
      </c>
      <c r="AD89" s="194">
        <v>4260</v>
      </c>
      <c r="AE89" s="155">
        <v>7300</v>
      </c>
      <c r="AF89" s="155">
        <v>7520</v>
      </c>
      <c r="AG89" s="155">
        <v>7740</v>
      </c>
      <c r="AK89" s="162" t="str">
        <f>IF(AJ85=2,"","June,11")</f>
        <v>June,11</v>
      </c>
      <c r="AL89" s="153">
        <f>'Annexure -I'!C7</f>
        <v>15700</v>
      </c>
      <c r="AM89" s="153">
        <v>0</v>
      </c>
      <c r="AN89" s="153">
        <v>0</v>
      </c>
      <c r="AO89" s="153">
        <f t="shared" si="5"/>
        <v>0</v>
      </c>
      <c r="AP89" s="153">
        <f>SUM(AO84:AO92)</f>
        <v>3140</v>
      </c>
    </row>
    <row r="90" spans="1:41" ht="26.25" customHeight="1" hidden="1">
      <c r="A90" s="152"/>
      <c r="B90" s="153"/>
      <c r="C90" s="154"/>
      <c r="D90" s="154"/>
      <c r="E90" s="154"/>
      <c r="F90" s="153"/>
      <c r="G90" s="153"/>
      <c r="H90" s="153"/>
      <c r="I90" s="153"/>
      <c r="J90" s="153"/>
      <c r="K90" s="153"/>
      <c r="L90" s="153"/>
      <c r="M90" s="153"/>
      <c r="N90" s="190" t="s">
        <v>577</v>
      </c>
      <c r="O90" s="153"/>
      <c r="P90" s="153"/>
      <c r="U90" s="153">
        <v>2</v>
      </c>
      <c r="V90" s="153">
        <f>IF(U83=2,"","April,11")</f>
      </c>
      <c r="X90" s="186">
        <v>2</v>
      </c>
      <c r="AA90" s="171">
        <v>5</v>
      </c>
      <c r="AB90" s="155">
        <v>7520</v>
      </c>
      <c r="AC90" s="194">
        <v>4260</v>
      </c>
      <c r="AD90" s="194">
        <v>4370</v>
      </c>
      <c r="AE90" s="155">
        <v>7520</v>
      </c>
      <c r="AF90" s="155">
        <v>7740</v>
      </c>
      <c r="AG90" s="155">
        <v>7960</v>
      </c>
      <c r="AK90" s="162" t="s">
        <v>522</v>
      </c>
      <c r="AL90" s="153">
        <f>IF(AND(AA52=1,O99&lt;5),F112,0)</f>
        <v>0</v>
      </c>
      <c r="AM90" s="153">
        <f>ROUND(AL90*29.96/100,0.1)</f>
        <v>0</v>
      </c>
      <c r="AN90" s="153">
        <f>ROUND(AL90*24.824/100,0.1)</f>
        <v>0</v>
      </c>
      <c r="AO90" s="153">
        <f t="shared" si="5"/>
        <v>0</v>
      </c>
    </row>
    <row r="91" spans="1:41" ht="26.25" customHeight="1" hidden="1">
      <c r="A91" s="152"/>
      <c r="B91" s="153"/>
      <c r="C91" s="154"/>
      <c r="D91" s="154"/>
      <c r="E91" s="154"/>
      <c r="F91" s="153"/>
      <c r="G91" s="153"/>
      <c r="H91" s="153"/>
      <c r="I91" s="153"/>
      <c r="J91" s="153"/>
      <c r="K91" s="153"/>
      <c r="L91" s="153"/>
      <c r="M91" s="153"/>
      <c r="N91" s="153"/>
      <c r="O91" s="153"/>
      <c r="P91" s="153"/>
      <c r="U91" s="153">
        <v>3</v>
      </c>
      <c r="V91" s="153">
        <f>IF(U83=2,"","May,11")</f>
      </c>
      <c r="X91" s="153">
        <f>IF(U83=2,"","3")</f>
      </c>
      <c r="AA91" s="171">
        <v>6</v>
      </c>
      <c r="AB91" s="155">
        <v>7740</v>
      </c>
      <c r="AC91" s="194">
        <v>4370</v>
      </c>
      <c r="AD91" s="194">
        <v>4480</v>
      </c>
      <c r="AE91" s="155">
        <v>7740</v>
      </c>
      <c r="AF91" s="155">
        <v>7960</v>
      </c>
      <c r="AG91" s="155">
        <v>8200</v>
      </c>
      <c r="AK91" s="162" t="s">
        <v>523</v>
      </c>
      <c r="AL91" s="153">
        <f>IF(AND(U83=1,L114&lt;5),F120,0)</f>
        <v>0</v>
      </c>
      <c r="AM91" s="153">
        <f>ROUND(AL91*29.96/100,0.1)</f>
        <v>0</v>
      </c>
      <c r="AN91" s="153">
        <f>ROUND(AL91*24.824/100,0.1)</f>
        <v>0</v>
      </c>
      <c r="AO91" s="153">
        <f t="shared" si="5"/>
        <v>0</v>
      </c>
    </row>
    <row r="92" spans="1:41" ht="26.25" customHeight="1" hidden="1">
      <c r="A92" s="152"/>
      <c r="B92" s="153"/>
      <c r="C92" s="154"/>
      <c r="D92" s="154"/>
      <c r="E92" s="154"/>
      <c r="F92" s="153"/>
      <c r="G92" s="153"/>
      <c r="H92" s="153"/>
      <c r="I92" s="153"/>
      <c r="J92" s="153"/>
      <c r="K92" s="153"/>
      <c r="L92" s="153"/>
      <c r="M92" s="153"/>
      <c r="N92" s="153"/>
      <c r="O92" s="153"/>
      <c r="P92" s="153"/>
      <c r="U92" s="153">
        <v>4</v>
      </c>
      <c r="V92" s="153">
        <f>IF(U83=2,"","June,11")</f>
      </c>
      <c r="X92" s="153">
        <f>IF(U83=2,"","4")</f>
      </c>
      <c r="AA92" s="171">
        <v>7</v>
      </c>
      <c r="AB92" s="155">
        <v>7960</v>
      </c>
      <c r="AC92" s="194">
        <v>4480</v>
      </c>
      <c r="AD92" s="194">
        <v>4595</v>
      </c>
      <c r="AE92" s="155">
        <v>7960</v>
      </c>
      <c r="AF92" s="155">
        <v>8200</v>
      </c>
      <c r="AG92" s="155">
        <v>8440</v>
      </c>
      <c r="AK92" s="162" t="s">
        <v>204</v>
      </c>
      <c r="AL92" s="153">
        <f>IF(BJ55&lt;=8,BM83,0)</f>
        <v>0</v>
      </c>
      <c r="AM92" s="153">
        <f>ROUND(AL92*29.96/100,0.1)</f>
        <v>0</v>
      </c>
      <c r="AN92" s="153">
        <f>ROUND(AL92*24.824/100,0.1)</f>
        <v>0</v>
      </c>
      <c r="AO92" s="153">
        <f t="shared" si="5"/>
        <v>0</v>
      </c>
    </row>
    <row r="93" spans="1:40" ht="26.25" customHeight="1" hidden="1">
      <c r="A93" s="152"/>
      <c r="B93" s="153"/>
      <c r="C93" s="154"/>
      <c r="D93" s="154"/>
      <c r="E93" s="154"/>
      <c r="F93" s="153"/>
      <c r="G93" s="153"/>
      <c r="H93" s="153"/>
      <c r="I93" s="153"/>
      <c r="J93" s="153"/>
      <c r="K93" s="153"/>
      <c r="L93" s="153"/>
      <c r="M93" s="153"/>
      <c r="N93" s="190" t="s">
        <v>277</v>
      </c>
      <c r="O93" s="153"/>
      <c r="P93" s="153"/>
      <c r="U93" s="153">
        <v>5</v>
      </c>
      <c r="V93" s="153">
        <f>IF(U83=2,"","July,11")</f>
      </c>
      <c r="X93" s="153">
        <f>IF(U83=2,"","5")</f>
      </c>
      <c r="AA93" s="171">
        <v>8</v>
      </c>
      <c r="AB93" s="155">
        <v>8200</v>
      </c>
      <c r="AC93" s="194">
        <v>4595</v>
      </c>
      <c r="AD93" s="194">
        <v>4710</v>
      </c>
      <c r="AE93" s="155">
        <v>8200</v>
      </c>
      <c r="AF93" s="155">
        <v>8440</v>
      </c>
      <c r="AG93" s="155">
        <v>8680</v>
      </c>
      <c r="AM93" s="153" t="s">
        <v>206</v>
      </c>
      <c r="AN93" s="153" t="s">
        <v>207</v>
      </c>
    </row>
    <row r="94" spans="1:41" ht="26.25" customHeight="1" hidden="1">
      <c r="A94" s="152"/>
      <c r="B94" s="153"/>
      <c r="C94" s="154"/>
      <c r="D94" s="154"/>
      <c r="E94" s="154"/>
      <c r="F94" s="153"/>
      <c r="G94" s="153"/>
      <c r="H94" s="153"/>
      <c r="I94" s="153"/>
      <c r="J94" s="153"/>
      <c r="K94" s="153"/>
      <c r="L94" s="153"/>
      <c r="M94" s="153"/>
      <c r="N94" s="190" t="s">
        <v>278</v>
      </c>
      <c r="O94" s="153"/>
      <c r="P94" s="153"/>
      <c r="U94" s="153">
        <v>6</v>
      </c>
      <c r="V94" s="153">
        <f>IF(U83=2,"","Aug,11")</f>
      </c>
      <c r="X94" s="153">
        <f>IF(U83=2,"","6")</f>
      </c>
      <c r="AA94" s="171">
        <v>9</v>
      </c>
      <c r="AB94" s="155">
        <v>8440</v>
      </c>
      <c r="AC94" s="194">
        <v>4710</v>
      </c>
      <c r="AD94" s="194">
        <v>4825</v>
      </c>
      <c r="AE94" s="155">
        <v>8440</v>
      </c>
      <c r="AF94" s="155">
        <v>8680</v>
      </c>
      <c r="AG94" s="155">
        <v>8940</v>
      </c>
      <c r="AK94" s="162" t="str">
        <f>IF(AJ85=2,"","July,11")</f>
        <v>July,11</v>
      </c>
      <c r="AL94" s="153">
        <f>'Annexure -I'!C8</f>
        <v>15700</v>
      </c>
      <c r="AM94" s="153">
        <f aca="true" t="shared" si="6" ref="AM94:AM99">ROUND(AL94*35.952/100,0.1)</f>
        <v>5644</v>
      </c>
      <c r="AN94" s="153">
        <f aca="true" t="shared" si="7" ref="AN94:AN99">ROUND(AL94*29.96/100,0.1)</f>
        <v>4704</v>
      </c>
      <c r="AO94" s="153">
        <f aca="true" t="shared" si="8" ref="AO94:AO101">AM94-AN94</f>
        <v>940</v>
      </c>
    </row>
    <row r="95" spans="1:41" ht="26.25" customHeight="1" hidden="1">
      <c r="A95" s="152"/>
      <c r="B95" s="153"/>
      <c r="C95" s="154"/>
      <c r="D95" s="154"/>
      <c r="E95" s="154"/>
      <c r="F95" s="153"/>
      <c r="G95" s="153"/>
      <c r="H95" s="153"/>
      <c r="I95" s="153"/>
      <c r="J95" s="153"/>
      <c r="K95" s="153"/>
      <c r="L95" s="153"/>
      <c r="M95" s="153"/>
      <c r="N95" s="153"/>
      <c r="O95" s="153"/>
      <c r="P95" s="153"/>
      <c r="U95" s="153">
        <v>7</v>
      </c>
      <c r="V95" s="153">
        <f>IF(U83=2,"","Sept,11")</f>
      </c>
      <c r="X95" s="153">
        <f>IF(U83=2,"","7")</f>
      </c>
      <c r="AA95" s="171">
        <v>10</v>
      </c>
      <c r="AB95" s="155">
        <v>8680</v>
      </c>
      <c r="AC95" s="194">
        <v>4825</v>
      </c>
      <c r="AD95" s="194">
        <v>4950</v>
      </c>
      <c r="AE95" s="155">
        <v>8680</v>
      </c>
      <c r="AF95" s="155">
        <v>8940</v>
      </c>
      <c r="AG95" s="155">
        <v>9200</v>
      </c>
      <c r="AK95" s="162" t="str">
        <f>IF(AJ85=2,"","Aug,11")</f>
        <v>Aug,11</v>
      </c>
      <c r="AL95" s="153">
        <f>'Annexure -I'!C9</f>
        <v>15700</v>
      </c>
      <c r="AM95" s="153">
        <f t="shared" si="6"/>
        <v>5644</v>
      </c>
      <c r="AN95" s="153">
        <f t="shared" si="7"/>
        <v>4704</v>
      </c>
      <c r="AO95" s="153">
        <f t="shared" si="8"/>
        <v>940</v>
      </c>
    </row>
    <row r="96" spans="1:41" ht="26.25" customHeight="1" hidden="1">
      <c r="A96" s="152"/>
      <c r="B96" s="153"/>
      <c r="C96" s="154"/>
      <c r="D96" s="154"/>
      <c r="E96" s="154"/>
      <c r="F96" s="153"/>
      <c r="G96" s="153"/>
      <c r="H96" s="153"/>
      <c r="I96" s="153"/>
      <c r="J96" s="153"/>
      <c r="K96" s="153"/>
      <c r="L96" s="153"/>
      <c r="M96" s="153"/>
      <c r="N96" s="153"/>
      <c r="O96" s="153"/>
      <c r="P96" s="153"/>
      <c r="U96" s="153">
        <v>8</v>
      </c>
      <c r="V96" s="153">
        <f>IF(U83=2,"","Oct,11")</f>
      </c>
      <c r="X96" s="153">
        <f>IF(U83=2,"","8")</f>
      </c>
      <c r="AA96" s="171">
        <v>11</v>
      </c>
      <c r="AB96" s="155">
        <v>8940</v>
      </c>
      <c r="AC96" s="194">
        <v>4950</v>
      </c>
      <c r="AD96" s="194">
        <v>5075</v>
      </c>
      <c r="AE96" s="155">
        <v>8940</v>
      </c>
      <c r="AF96" s="155">
        <v>9200</v>
      </c>
      <c r="AG96" s="155">
        <v>9460</v>
      </c>
      <c r="AK96" s="162" t="str">
        <f>IF(AJ85=2,"","Sept,11")</f>
        <v>Sept,11</v>
      </c>
      <c r="AL96" s="153">
        <f>'Annexure -I'!C10</f>
        <v>15700</v>
      </c>
      <c r="AM96" s="153">
        <f t="shared" si="6"/>
        <v>5644</v>
      </c>
      <c r="AN96" s="153">
        <f t="shared" si="7"/>
        <v>4704</v>
      </c>
      <c r="AO96" s="153">
        <f t="shared" si="8"/>
        <v>940</v>
      </c>
    </row>
    <row r="97" spans="1:41" ht="26.25" customHeight="1" hidden="1">
      <c r="A97" s="152"/>
      <c r="B97" s="153"/>
      <c r="C97" s="154"/>
      <c r="D97" s="154"/>
      <c r="E97" s="154"/>
      <c r="F97" s="153"/>
      <c r="G97" s="153"/>
      <c r="H97" s="153"/>
      <c r="I97" s="153"/>
      <c r="J97" s="153"/>
      <c r="K97" s="153"/>
      <c r="L97" s="153"/>
      <c r="M97" s="153"/>
      <c r="N97" s="153"/>
      <c r="O97" s="153"/>
      <c r="P97" s="153"/>
      <c r="U97" s="153">
        <v>9</v>
      </c>
      <c r="V97" s="153">
        <f>IF(U83=2,"","Nov,11")</f>
      </c>
      <c r="X97" s="153">
        <f>IF(U83=2,"","9")</f>
      </c>
      <c r="AA97" s="171">
        <v>12</v>
      </c>
      <c r="AB97" s="155">
        <v>9200</v>
      </c>
      <c r="AC97" s="194">
        <v>5075</v>
      </c>
      <c r="AD97" s="194">
        <v>5200</v>
      </c>
      <c r="AE97" s="155">
        <v>9200</v>
      </c>
      <c r="AF97" s="155">
        <v>9460</v>
      </c>
      <c r="AG97" s="155">
        <v>9740</v>
      </c>
      <c r="AK97" s="162" t="str">
        <f>IF(AJ85=2,"","Oct,11")</f>
        <v>Oct,11</v>
      </c>
      <c r="AL97" s="153">
        <f>'Annexure -I'!C11</f>
        <v>15700</v>
      </c>
      <c r="AM97" s="153">
        <f t="shared" si="6"/>
        <v>5644</v>
      </c>
      <c r="AN97" s="153">
        <f t="shared" si="7"/>
        <v>4704</v>
      </c>
      <c r="AO97" s="153">
        <f t="shared" si="8"/>
        <v>940</v>
      </c>
    </row>
    <row r="98" spans="1:41" ht="26.25" customHeight="1" hidden="1">
      <c r="A98" s="152"/>
      <c r="B98" s="153"/>
      <c r="C98" s="154"/>
      <c r="D98" s="154"/>
      <c r="E98" s="154"/>
      <c r="F98" s="153"/>
      <c r="G98" s="153"/>
      <c r="H98" s="153"/>
      <c r="I98" s="153"/>
      <c r="J98" s="153"/>
      <c r="K98" s="153"/>
      <c r="L98" s="153"/>
      <c r="M98" s="153"/>
      <c r="N98" s="153"/>
      <c r="O98" s="153"/>
      <c r="P98" s="153"/>
      <c r="U98" s="153">
        <v>10</v>
      </c>
      <c r="V98" s="153">
        <f>IF(U83=2,"","Dec,11")</f>
      </c>
      <c r="X98" s="153">
        <f>IF(U83=2,"","10")</f>
      </c>
      <c r="AA98" s="171">
        <v>13</v>
      </c>
      <c r="AB98" s="155">
        <v>9460</v>
      </c>
      <c r="AC98" s="194">
        <v>5200</v>
      </c>
      <c r="AD98" s="194">
        <v>5335</v>
      </c>
      <c r="AE98" s="155">
        <v>9460</v>
      </c>
      <c r="AF98" s="155">
        <v>9740</v>
      </c>
      <c r="AG98" s="155">
        <v>10020</v>
      </c>
      <c r="AK98" s="162" t="str">
        <f>IF(AJ85=2,"","Nov,11")</f>
        <v>Nov,11</v>
      </c>
      <c r="AL98" s="153">
        <f>'Annexure -I'!C12</f>
        <v>15700</v>
      </c>
      <c r="AM98" s="153">
        <v>0</v>
      </c>
      <c r="AN98" s="153">
        <v>0</v>
      </c>
      <c r="AO98" s="153">
        <f t="shared" si="8"/>
        <v>0</v>
      </c>
    </row>
    <row r="99" spans="1:42" ht="26.25" customHeight="1" hidden="1">
      <c r="A99" s="152"/>
      <c r="B99" s="153"/>
      <c r="C99" s="154"/>
      <c r="D99" s="154"/>
      <c r="E99" s="154"/>
      <c r="F99" s="153"/>
      <c r="G99" s="153"/>
      <c r="H99" s="153"/>
      <c r="I99" s="153"/>
      <c r="J99" s="153"/>
      <c r="K99" s="153"/>
      <c r="L99" s="153"/>
      <c r="M99" s="153"/>
      <c r="N99" s="153">
        <f>Y52</f>
        <v>1</v>
      </c>
      <c r="O99" s="153">
        <f>AA74</f>
        <v>2</v>
      </c>
      <c r="P99" s="153"/>
      <c r="U99" s="153">
        <v>11</v>
      </c>
      <c r="V99" s="153">
        <f>IF(U83=2,"","Jan,12")</f>
      </c>
      <c r="X99" s="153">
        <f>IF(U83=2,"","11")</f>
      </c>
      <c r="AA99" s="171">
        <v>14</v>
      </c>
      <c r="AB99" s="155">
        <v>9740</v>
      </c>
      <c r="AC99" s="194">
        <v>5335</v>
      </c>
      <c r="AD99" s="194">
        <v>5470</v>
      </c>
      <c r="AE99" s="155">
        <v>9740</v>
      </c>
      <c r="AF99" s="155">
        <v>10020</v>
      </c>
      <c r="AG99" s="155">
        <v>10300</v>
      </c>
      <c r="AK99" s="162" t="s">
        <v>204</v>
      </c>
      <c r="AL99" s="153">
        <f>IF(AND(BJ55&gt;=10,BJ55&lt;20),BM83,0)</f>
        <v>0</v>
      </c>
      <c r="AM99" s="153">
        <f t="shared" si="6"/>
        <v>0</v>
      </c>
      <c r="AN99" s="153">
        <f t="shared" si="7"/>
        <v>0</v>
      </c>
      <c r="AO99" s="153">
        <f t="shared" si="8"/>
        <v>0</v>
      </c>
      <c r="AP99" s="153">
        <f>SUM(AO94:AO101)</f>
        <v>3760</v>
      </c>
    </row>
    <row r="100" spans="1:41" ht="26.25" customHeight="1" hidden="1">
      <c r="A100" s="152"/>
      <c r="B100" s="153"/>
      <c r="C100" s="154"/>
      <c r="D100" s="154"/>
      <c r="E100" s="154"/>
      <c r="F100" s="153"/>
      <c r="G100" s="153"/>
      <c r="H100" s="153"/>
      <c r="I100" s="153"/>
      <c r="J100" s="153"/>
      <c r="K100" s="153"/>
      <c r="L100" s="153"/>
      <c r="M100" s="153"/>
      <c r="N100" s="153">
        <f>VLOOKUP(O99,O102:Q113,3,0)</f>
        <v>30</v>
      </c>
      <c r="O100" s="154" t="str">
        <f>VLOOKUP(O99+1,AA58:AC70,3,0)</f>
        <v>04</v>
      </c>
      <c r="P100" s="153">
        <f>IF(O100&gt;2,2011,2012)</f>
        <v>2011</v>
      </c>
      <c r="U100" s="153">
        <v>12</v>
      </c>
      <c r="V100" s="153">
        <f>IF(U83=2,"","Feb,12")</f>
      </c>
      <c r="X100" s="153">
        <f>IF(U83=2,"","12")</f>
      </c>
      <c r="AA100" s="171">
        <v>15</v>
      </c>
      <c r="AB100" s="155">
        <v>10020</v>
      </c>
      <c r="AC100" s="194">
        <v>5470</v>
      </c>
      <c r="AD100" s="194">
        <v>5605</v>
      </c>
      <c r="AE100" s="155">
        <v>10020</v>
      </c>
      <c r="AF100" s="155">
        <v>10300</v>
      </c>
      <c r="AG100" s="155">
        <v>10600</v>
      </c>
      <c r="AK100" s="153" t="s">
        <v>522</v>
      </c>
      <c r="AL100" s="153">
        <f>IF(AND(AA52=1,O99&gt;4,O99&lt;10),F112,0)</f>
        <v>0</v>
      </c>
      <c r="AM100" s="153">
        <f>ROUND(AL100*35.952/100,0.1)</f>
        <v>0</v>
      </c>
      <c r="AN100" s="153">
        <f>ROUND(AL100*29.96/100,0.1)</f>
        <v>0</v>
      </c>
      <c r="AO100" s="153">
        <f t="shared" si="8"/>
        <v>0</v>
      </c>
    </row>
    <row r="101" spans="1:41" ht="26.25" customHeight="1" hidden="1">
      <c r="A101" s="152"/>
      <c r="B101" s="153"/>
      <c r="C101" s="154"/>
      <c r="D101" s="154"/>
      <c r="E101" s="154"/>
      <c r="F101" s="153"/>
      <c r="G101" s="153"/>
      <c r="H101" s="153"/>
      <c r="I101" s="153"/>
      <c r="J101" s="153"/>
      <c r="K101" s="153"/>
      <c r="L101" s="153"/>
      <c r="M101" s="153"/>
      <c r="N101" s="153"/>
      <c r="O101" s="153"/>
      <c r="P101" s="153"/>
      <c r="X101" s="153">
        <f>IF(U83=2,"","13")</f>
      </c>
      <c r="AA101" s="171">
        <v>16</v>
      </c>
      <c r="AB101" s="155">
        <v>10300</v>
      </c>
      <c r="AC101" s="194">
        <v>5605</v>
      </c>
      <c r="AD101" s="194">
        <v>5750</v>
      </c>
      <c r="AE101" s="155">
        <v>10300</v>
      </c>
      <c r="AF101" s="155">
        <v>10600</v>
      </c>
      <c r="AG101" s="155">
        <v>10900</v>
      </c>
      <c r="AK101" s="153" t="s">
        <v>523</v>
      </c>
      <c r="AL101" s="153">
        <f>IF(AND(U83=1,L114&gt;4,L114&lt;10),F120,0)</f>
        <v>0</v>
      </c>
      <c r="AM101" s="153">
        <f>ROUND(AL101*35.952/100,0.1)</f>
        <v>0</v>
      </c>
      <c r="AN101" s="153">
        <f>ROUND(AL101*29.96/100,0.1)</f>
        <v>0</v>
      </c>
      <c r="AO101" s="153">
        <f t="shared" si="8"/>
        <v>0</v>
      </c>
    </row>
    <row r="102" spans="1:33" ht="26.25" customHeight="1" hidden="1">
      <c r="A102" s="152"/>
      <c r="B102" s="153"/>
      <c r="C102" s="154"/>
      <c r="D102" s="154"/>
      <c r="E102" s="154"/>
      <c r="F102" s="153"/>
      <c r="G102" s="153"/>
      <c r="H102" s="153"/>
      <c r="I102" s="153"/>
      <c r="J102" s="153"/>
      <c r="K102" s="153"/>
      <c r="L102" s="153" t="str">
        <f>CONCATENATE(N99,"-",N100,"/",O100,"/",P100)</f>
        <v>1-30/04/2011</v>
      </c>
      <c r="M102" s="153"/>
      <c r="N102" s="153"/>
      <c r="O102" s="153">
        <v>1</v>
      </c>
      <c r="P102" s="153" t="str">
        <f>IF(O101=2,"","March,11")</f>
        <v>March,11</v>
      </c>
      <c r="Q102" s="153">
        <v>31</v>
      </c>
      <c r="X102" s="153">
        <f>IF(U83=2,"","14")</f>
      </c>
      <c r="AA102" s="171">
        <v>17</v>
      </c>
      <c r="AB102" s="155">
        <v>10600</v>
      </c>
      <c r="AC102" s="194">
        <v>5750</v>
      </c>
      <c r="AD102" s="194">
        <v>5895</v>
      </c>
      <c r="AE102" s="155">
        <v>10600</v>
      </c>
      <c r="AF102" s="155">
        <v>10900</v>
      </c>
      <c r="AG102" s="155">
        <v>11200</v>
      </c>
    </row>
    <row r="103" spans="1:33" ht="26.25" customHeight="1" hidden="1">
      <c r="A103" s="152"/>
      <c r="B103" s="153"/>
      <c r="C103" s="154"/>
      <c r="D103" s="154"/>
      <c r="E103" s="154"/>
      <c r="F103" s="153"/>
      <c r="G103" s="153"/>
      <c r="H103" s="153"/>
      <c r="I103" s="153"/>
      <c r="J103" s="153"/>
      <c r="K103" s="153"/>
      <c r="L103" s="153"/>
      <c r="M103" s="153"/>
      <c r="N103" s="153"/>
      <c r="O103" s="153">
        <v>2</v>
      </c>
      <c r="P103" s="153" t="str">
        <f>IF(O101=2,"","April,11")</f>
        <v>April,11</v>
      </c>
      <c r="Q103" s="153">
        <v>30</v>
      </c>
      <c r="X103" s="153">
        <f>IF(U83=2,"","15")</f>
      </c>
      <c r="AA103" s="171">
        <v>18</v>
      </c>
      <c r="AB103" s="155">
        <v>10900</v>
      </c>
      <c r="AC103" s="194">
        <v>5895</v>
      </c>
      <c r="AD103" s="194">
        <v>6040</v>
      </c>
      <c r="AE103" s="155">
        <v>10900</v>
      </c>
      <c r="AF103" s="155">
        <v>11200</v>
      </c>
      <c r="AG103" s="155">
        <v>11530</v>
      </c>
    </row>
    <row r="104" spans="1:33" ht="26.25" customHeight="1" hidden="1" thickBot="1">
      <c r="A104" s="152"/>
      <c r="B104" s="153"/>
      <c r="C104" s="154"/>
      <c r="D104" s="154"/>
      <c r="E104" s="154"/>
      <c r="F104" s="153"/>
      <c r="G104" s="153"/>
      <c r="H104" s="153"/>
      <c r="I104" s="153"/>
      <c r="J104" s="153"/>
      <c r="K104" s="153"/>
      <c r="L104" s="476">
        <f>VLOOKUP(O99+1,AN26:AP37,3,0)</f>
        <v>15280</v>
      </c>
      <c r="M104" s="476"/>
      <c r="N104" s="153"/>
      <c r="O104" s="153">
        <v>3</v>
      </c>
      <c r="P104" s="153" t="str">
        <f>IF(O101=2,"","May,11")</f>
        <v>May,11</v>
      </c>
      <c r="Q104" s="153">
        <v>31</v>
      </c>
      <c r="T104" s="153">
        <v>1</v>
      </c>
      <c r="U104" s="153">
        <f>VLOOKUP(T104,T105:U106,2,0)</f>
      </c>
      <c r="X104" s="153">
        <f>IF(U83=2,"","16")</f>
      </c>
      <c r="AA104" s="171">
        <v>19</v>
      </c>
      <c r="AB104" s="155">
        <v>11200</v>
      </c>
      <c r="AC104" s="194">
        <v>6040</v>
      </c>
      <c r="AD104" s="195">
        <v>6195</v>
      </c>
      <c r="AE104" s="155">
        <v>11200</v>
      </c>
      <c r="AF104" s="155">
        <v>11530</v>
      </c>
      <c r="AG104" s="155">
        <v>11860</v>
      </c>
    </row>
    <row r="105" spans="1:33" ht="26.25" customHeight="1" hidden="1" thickBot="1">
      <c r="A105" s="152"/>
      <c r="B105" s="153"/>
      <c r="C105" s="154"/>
      <c r="D105" s="154"/>
      <c r="E105" s="154"/>
      <c r="F105" s="153"/>
      <c r="G105" s="153"/>
      <c r="H105" s="153"/>
      <c r="I105" s="153"/>
      <c r="J105" s="153"/>
      <c r="K105" s="153"/>
      <c r="L105" s="476">
        <f>VLOOKUP(O99+2,AN26:AP37,3,0)</f>
        <v>15280</v>
      </c>
      <c r="M105" s="476"/>
      <c r="N105" s="153"/>
      <c r="O105" s="153">
        <v>4</v>
      </c>
      <c r="P105" s="153" t="str">
        <f>IF(O101=2,"","June,11")</f>
        <v>June,11</v>
      </c>
      <c r="Q105" s="153">
        <v>30</v>
      </c>
      <c r="T105" s="153">
        <v>1</v>
      </c>
      <c r="U105" s="153">
        <f>IF(U83=1,"Promotion Date","")</f>
      </c>
      <c r="X105" s="153">
        <f>IF(U83=2,"","17")</f>
      </c>
      <c r="AA105" s="171">
        <v>20</v>
      </c>
      <c r="AB105" s="155">
        <v>11530</v>
      </c>
      <c r="AC105" s="195">
        <v>6195</v>
      </c>
      <c r="AD105" s="196">
        <v>6350</v>
      </c>
      <c r="AE105" s="155">
        <v>11530</v>
      </c>
      <c r="AF105" s="155">
        <v>11860</v>
      </c>
      <c r="AG105" s="155">
        <v>12190</v>
      </c>
    </row>
    <row r="106" spans="1:33" ht="26.25" customHeight="1" hidden="1">
      <c r="A106" s="152"/>
      <c r="B106" s="153"/>
      <c r="C106" s="154"/>
      <c r="D106" s="154"/>
      <c r="E106" s="154"/>
      <c r="F106" s="153"/>
      <c r="G106" s="153"/>
      <c r="H106" s="153"/>
      <c r="I106" s="153"/>
      <c r="J106" s="153"/>
      <c r="K106" s="153"/>
      <c r="L106" s="153"/>
      <c r="M106" s="153"/>
      <c r="N106" s="153"/>
      <c r="O106" s="153">
        <v>5</v>
      </c>
      <c r="P106" s="153" t="str">
        <f>IF(O101=2,"","July,11")</f>
        <v>July,11</v>
      </c>
      <c r="Q106" s="153">
        <v>31</v>
      </c>
      <c r="T106" s="153">
        <v>2</v>
      </c>
      <c r="U106" s="153">
        <f>IF(U83=1,"Increment Date","")</f>
      </c>
      <c r="X106" s="153">
        <f>IF(U83=2,"","18")</f>
      </c>
      <c r="AA106" s="171">
        <v>21</v>
      </c>
      <c r="AB106" s="155">
        <v>11860</v>
      </c>
      <c r="AC106" s="196">
        <v>6350</v>
      </c>
      <c r="AD106" s="194">
        <v>6505</v>
      </c>
      <c r="AE106" s="155">
        <v>11860</v>
      </c>
      <c r="AF106" s="155">
        <v>12190</v>
      </c>
      <c r="AG106" s="155">
        <v>12550</v>
      </c>
    </row>
    <row r="107" spans="1:33" ht="26.25" customHeight="1" hidden="1">
      <c r="A107" s="152"/>
      <c r="B107" s="153"/>
      <c r="C107" s="154"/>
      <c r="D107" s="154"/>
      <c r="E107" s="154"/>
      <c r="F107" s="153"/>
      <c r="G107" s="153"/>
      <c r="H107" s="153"/>
      <c r="I107" s="153"/>
      <c r="J107" s="153"/>
      <c r="K107" s="153"/>
      <c r="L107" s="540">
        <f>VLOOKUP(O99+1,AN26:AQ37,4,0)</f>
        <v>29.96</v>
      </c>
      <c r="M107" s="540"/>
      <c r="N107" s="153"/>
      <c r="O107" s="153">
        <v>6</v>
      </c>
      <c r="P107" s="153" t="str">
        <f>IF(O101=2,"","Aug,11")</f>
        <v>Aug,11</v>
      </c>
      <c r="Q107" s="153">
        <v>31</v>
      </c>
      <c r="X107" s="153">
        <f>IF(U83=2,"","19")</f>
      </c>
      <c r="AA107" s="171">
        <v>22</v>
      </c>
      <c r="AB107" s="155">
        <v>12190</v>
      </c>
      <c r="AC107" s="194">
        <v>6505</v>
      </c>
      <c r="AD107" s="194">
        <v>6675</v>
      </c>
      <c r="AE107" s="155">
        <v>12190</v>
      </c>
      <c r="AF107" s="155">
        <v>12550</v>
      </c>
      <c r="AG107" s="155">
        <v>12910</v>
      </c>
    </row>
    <row r="108" spans="1:33" ht="26.25" customHeight="1" hidden="1" thickBot="1">
      <c r="A108" s="152"/>
      <c r="B108" s="153"/>
      <c r="C108" s="154"/>
      <c r="D108" s="154"/>
      <c r="E108" s="154"/>
      <c r="F108" s="153"/>
      <c r="G108" s="153"/>
      <c r="H108" s="153"/>
      <c r="I108" s="153"/>
      <c r="J108" s="153"/>
      <c r="K108" s="153"/>
      <c r="L108" s="153">
        <f>VLOOKUP(O99+1,N35:Q46,3,)</f>
        <v>20</v>
      </c>
      <c r="M108" s="153"/>
      <c r="N108" s="153"/>
      <c r="O108" s="153">
        <v>7</v>
      </c>
      <c r="P108" s="153" t="str">
        <f>IF(O101=2,"","Sept,11")</f>
        <v>Sept,11</v>
      </c>
      <c r="Q108" s="153">
        <v>30</v>
      </c>
      <c r="U108" s="153" t="s">
        <v>4</v>
      </c>
      <c r="X108" s="153">
        <f>IF(U83=2,"","20")</f>
      </c>
      <c r="AA108" s="171">
        <v>23</v>
      </c>
      <c r="AB108" s="155">
        <v>12550</v>
      </c>
      <c r="AC108" s="194">
        <v>6675</v>
      </c>
      <c r="AD108" s="194">
        <v>6845</v>
      </c>
      <c r="AE108" s="155">
        <v>12550</v>
      </c>
      <c r="AF108" s="155">
        <v>12910</v>
      </c>
      <c r="AG108" s="155">
        <v>13270</v>
      </c>
    </row>
    <row r="109" spans="1:33" ht="26.25" customHeight="1" hidden="1" thickBot="1">
      <c r="A109" s="152"/>
      <c r="B109" s="153"/>
      <c r="C109" s="186" t="str">
        <f>IF(AA52=2,CONCATENATE("No AAS Arrears"),CONCATENATE("AAS  Arrears                                           ",L102))</f>
        <v>No AAS Arrears</v>
      </c>
      <c r="D109" s="154"/>
      <c r="E109" s="154"/>
      <c r="F109" s="153"/>
      <c r="G109" s="153"/>
      <c r="H109" s="153"/>
      <c r="I109" s="153"/>
      <c r="J109" s="153"/>
      <c r="K109" s="153"/>
      <c r="L109" s="153"/>
      <c r="M109" s="153"/>
      <c r="N109" s="153"/>
      <c r="O109" s="153">
        <v>8</v>
      </c>
      <c r="P109" s="153" t="str">
        <f>IF(O101=2,"","Oct,11")</f>
        <v>Oct,11</v>
      </c>
      <c r="Q109" s="153">
        <v>31</v>
      </c>
      <c r="T109" s="197">
        <v>4</v>
      </c>
      <c r="U109" s="198">
        <f>VLOOKUP(T109,T110:U114,2,0)</f>
        <v>20</v>
      </c>
      <c r="V109" s="170"/>
      <c r="X109" s="153">
        <f>IF(U83=2,"","21")</f>
      </c>
      <c r="AA109" s="171">
        <v>24</v>
      </c>
      <c r="AB109" s="155">
        <v>12910</v>
      </c>
      <c r="AC109" s="194">
        <v>6845</v>
      </c>
      <c r="AD109" s="194">
        <v>7015</v>
      </c>
      <c r="AE109" s="155">
        <v>12910</v>
      </c>
      <c r="AF109" s="155">
        <v>13270</v>
      </c>
      <c r="AG109" s="155">
        <v>13660</v>
      </c>
    </row>
    <row r="110" spans="1:33" ht="26.25" customHeight="1" hidden="1">
      <c r="A110" s="152"/>
      <c r="B110" s="153"/>
      <c r="C110" s="154">
        <f>ROUND(L104*(N100-N99+1)/N100,0.1)</f>
        <v>15280</v>
      </c>
      <c r="D110" s="154">
        <f>ROUND(C110*L107%,0.1)</f>
        <v>4578</v>
      </c>
      <c r="E110" s="154">
        <f>ROUND(C110*L108%,0.1)</f>
        <v>3056</v>
      </c>
      <c r="F110" s="153"/>
      <c r="G110" s="153"/>
      <c r="H110" s="153"/>
      <c r="I110" s="153"/>
      <c r="J110" s="153"/>
      <c r="K110" s="153"/>
      <c r="L110" s="153"/>
      <c r="M110" s="153"/>
      <c r="N110" s="153"/>
      <c r="O110" s="153">
        <v>9</v>
      </c>
      <c r="P110" s="153" t="str">
        <f>IF(O101=2,"","Nov,11")</f>
        <v>Nov,11</v>
      </c>
      <c r="Q110" s="153">
        <v>30</v>
      </c>
      <c r="T110" s="171">
        <v>1</v>
      </c>
      <c r="U110" s="155">
        <v>0</v>
      </c>
      <c r="V110" s="172">
        <v>0</v>
      </c>
      <c r="X110" s="153">
        <f>IF(U83=2,"","22")</f>
      </c>
      <c r="AA110" s="171">
        <v>25</v>
      </c>
      <c r="AB110" s="155">
        <v>13270</v>
      </c>
      <c r="AC110" s="194">
        <v>7015</v>
      </c>
      <c r="AD110" s="194">
        <v>7200</v>
      </c>
      <c r="AE110" s="155">
        <v>13270</v>
      </c>
      <c r="AF110" s="155">
        <v>13660</v>
      </c>
      <c r="AG110" s="155">
        <v>14050</v>
      </c>
    </row>
    <row r="111" spans="1:33" ht="26.25" customHeight="1" hidden="1">
      <c r="A111" s="152"/>
      <c r="B111" s="153"/>
      <c r="C111" s="154">
        <f>ROUND(L105*(N100-N99+1)/N100,0.1)</f>
        <v>15280</v>
      </c>
      <c r="D111" s="154">
        <f>ROUND(C111*L107%,0.1)</f>
        <v>4578</v>
      </c>
      <c r="E111" s="154">
        <f>ROUND(C111*L108%,0.1)</f>
        <v>3056</v>
      </c>
      <c r="F111" s="153">
        <f>C111-C110</f>
        <v>0</v>
      </c>
      <c r="G111" s="153">
        <f>D111-D110</f>
        <v>0</v>
      </c>
      <c r="H111" s="153">
        <f>E111-E110</f>
        <v>0</v>
      </c>
      <c r="I111" s="153"/>
      <c r="J111" s="153"/>
      <c r="K111" s="153"/>
      <c r="L111" s="153"/>
      <c r="M111" s="153"/>
      <c r="N111" s="153"/>
      <c r="O111" s="153">
        <v>10</v>
      </c>
      <c r="P111" s="153" t="str">
        <f>IF(O101=2,"","Dec,11")</f>
        <v>Dec,11</v>
      </c>
      <c r="Q111" s="153">
        <v>31</v>
      </c>
      <c r="T111" s="171">
        <v>2</v>
      </c>
      <c r="U111" s="155">
        <v>10</v>
      </c>
      <c r="V111" s="433" t="s">
        <v>549</v>
      </c>
      <c r="X111" s="153">
        <f>IF(U83=2,"","23")</f>
      </c>
      <c r="AA111" s="171">
        <v>26</v>
      </c>
      <c r="AB111" s="155">
        <v>13660</v>
      </c>
      <c r="AC111" s="194">
        <v>7200</v>
      </c>
      <c r="AD111" s="194">
        <v>7385</v>
      </c>
      <c r="AE111" s="155">
        <v>13660</v>
      </c>
      <c r="AF111" s="155">
        <v>14050</v>
      </c>
      <c r="AG111" s="155">
        <v>14440</v>
      </c>
    </row>
    <row r="112" spans="1:33" ht="26.25" customHeight="1" hidden="1">
      <c r="A112" s="152"/>
      <c r="B112" s="153"/>
      <c r="C112" s="154"/>
      <c r="D112" s="154"/>
      <c r="E112" s="154"/>
      <c r="F112" s="153">
        <f>IF(AA52=2,0,F111)</f>
        <v>0</v>
      </c>
      <c r="G112" s="153">
        <f>IF(AA52=2,0,G111)</f>
        <v>0</v>
      </c>
      <c r="H112" s="153">
        <f>IF(AA52=2,0,H111)</f>
        <v>0</v>
      </c>
      <c r="I112" s="153"/>
      <c r="J112" s="153"/>
      <c r="K112" s="153"/>
      <c r="L112" s="153"/>
      <c r="M112" s="153"/>
      <c r="N112" s="153"/>
      <c r="O112" s="153">
        <v>11</v>
      </c>
      <c r="P112" s="153" t="str">
        <f>IF(O101=2,"","Jan,12")</f>
        <v>Jan,12</v>
      </c>
      <c r="Q112" s="153">
        <v>31</v>
      </c>
      <c r="T112" s="171">
        <v>3</v>
      </c>
      <c r="U112" s="155">
        <v>12.5</v>
      </c>
      <c r="V112" s="434" t="s">
        <v>550</v>
      </c>
      <c r="X112" s="153">
        <f>IF(U83=2,"","24")</f>
      </c>
      <c r="AA112" s="171">
        <v>27</v>
      </c>
      <c r="AB112" s="155">
        <v>14050</v>
      </c>
      <c r="AC112" s="194">
        <v>7385</v>
      </c>
      <c r="AD112" s="194">
        <v>7570</v>
      </c>
      <c r="AE112" s="155">
        <v>14050</v>
      </c>
      <c r="AF112" s="155">
        <v>14440</v>
      </c>
      <c r="AG112" s="155">
        <v>14860</v>
      </c>
    </row>
    <row r="113" spans="1:33" ht="26.25" customHeight="1" hidden="1">
      <c r="A113" s="152"/>
      <c r="B113" s="153"/>
      <c r="C113" s="154"/>
      <c r="D113" s="154"/>
      <c r="E113" s="154"/>
      <c r="F113" s="153"/>
      <c r="G113" s="153"/>
      <c r="H113" s="153"/>
      <c r="I113" s="153"/>
      <c r="J113" s="153"/>
      <c r="K113" s="153"/>
      <c r="L113" s="153"/>
      <c r="M113" s="153"/>
      <c r="N113" s="153"/>
      <c r="O113" s="153">
        <v>12</v>
      </c>
      <c r="P113" s="153" t="str">
        <f>IF(O101=2,"","Feb,12")</f>
        <v>Feb,12</v>
      </c>
      <c r="Q113" s="153">
        <v>29</v>
      </c>
      <c r="T113" s="171">
        <v>4</v>
      </c>
      <c r="U113" s="155">
        <v>20</v>
      </c>
      <c r="V113" s="172">
        <v>20</v>
      </c>
      <c r="X113" s="153">
        <f>IF(U83=2,"","25")</f>
      </c>
      <c r="AA113" s="171">
        <v>28</v>
      </c>
      <c r="AB113" s="155">
        <v>14440</v>
      </c>
      <c r="AC113" s="194">
        <v>7570</v>
      </c>
      <c r="AD113" s="194">
        <v>7770</v>
      </c>
      <c r="AE113" s="155">
        <v>14440</v>
      </c>
      <c r="AF113" s="155">
        <v>14860</v>
      </c>
      <c r="AG113" s="155">
        <v>15280</v>
      </c>
    </row>
    <row r="114" spans="1:33" ht="26.25" customHeight="1" hidden="1">
      <c r="A114" s="152"/>
      <c r="B114" s="153"/>
      <c r="C114" s="154"/>
      <c r="D114" s="154"/>
      <c r="E114" s="154"/>
      <c r="F114" s="153"/>
      <c r="G114" s="153"/>
      <c r="H114" s="153"/>
      <c r="I114" s="153"/>
      <c r="J114" s="153"/>
      <c r="K114" s="153">
        <f>W85</f>
        <v>23</v>
      </c>
      <c r="L114" s="153">
        <f>W86</f>
        <v>11</v>
      </c>
      <c r="M114" s="153"/>
      <c r="N114" s="153"/>
      <c r="O114" s="153"/>
      <c r="P114" s="153"/>
      <c r="T114" s="171">
        <v>5</v>
      </c>
      <c r="U114" s="155">
        <v>30</v>
      </c>
      <c r="V114" s="172">
        <v>30</v>
      </c>
      <c r="X114" s="153">
        <f>IF(U83=2,"","26")</f>
      </c>
      <c r="AA114" s="171">
        <v>29</v>
      </c>
      <c r="AB114" s="155">
        <v>14860</v>
      </c>
      <c r="AC114" s="194">
        <v>7770</v>
      </c>
      <c r="AD114" s="194">
        <v>7970</v>
      </c>
      <c r="AE114" s="155">
        <v>14860</v>
      </c>
      <c r="AF114" s="155">
        <v>15280</v>
      </c>
      <c r="AG114" s="155">
        <v>15700</v>
      </c>
    </row>
    <row r="115" spans="1:33" ht="26.25" customHeight="1" hidden="1" thickBot="1">
      <c r="A115" s="152"/>
      <c r="B115" s="153"/>
      <c r="C115" s="154"/>
      <c r="D115" s="154"/>
      <c r="E115" s="154"/>
      <c r="F115" s="153"/>
      <c r="G115" s="153"/>
      <c r="H115" s="153"/>
      <c r="I115" s="153"/>
      <c r="J115" s="153"/>
      <c r="K115" s="153">
        <f>VLOOKUP(L114,O102:Q113,3,0)</f>
        <v>31</v>
      </c>
      <c r="L115" s="154" t="str">
        <f>VLOOKUP(L114+1,AA58:AC70,3,0)</f>
        <v>01</v>
      </c>
      <c r="M115" s="153">
        <f>IF(L115&gt;2,2010,2011)</f>
        <v>2010</v>
      </c>
      <c r="N115" s="153"/>
      <c r="O115" s="153"/>
      <c r="P115" s="153"/>
      <c r="T115" s="171"/>
      <c r="U115" s="155"/>
      <c r="V115" s="172"/>
      <c r="X115" s="153">
        <f>IF(U83=2,"","27")</f>
      </c>
      <c r="AA115" s="171">
        <v>30</v>
      </c>
      <c r="AB115" s="155">
        <v>15280</v>
      </c>
      <c r="AC115" s="194">
        <v>7970</v>
      </c>
      <c r="AD115" s="194">
        <v>8170</v>
      </c>
      <c r="AE115" s="155">
        <v>15280</v>
      </c>
      <c r="AF115" s="155">
        <v>15700</v>
      </c>
      <c r="AG115" s="155">
        <v>16150</v>
      </c>
    </row>
    <row r="116" spans="1:33" ht="26.25" customHeight="1" hidden="1" thickBot="1">
      <c r="A116" s="152"/>
      <c r="B116" s="153"/>
      <c r="C116" s="154"/>
      <c r="D116" s="154"/>
      <c r="E116" s="154"/>
      <c r="F116" s="153"/>
      <c r="G116" s="153"/>
      <c r="H116" s="153"/>
      <c r="I116" s="153"/>
      <c r="J116" s="153"/>
      <c r="K116" s="153"/>
      <c r="L116" s="153"/>
      <c r="M116" s="153"/>
      <c r="N116" s="153"/>
      <c r="O116" s="153"/>
      <c r="P116" s="153"/>
      <c r="T116" s="197">
        <v>1</v>
      </c>
      <c r="U116" s="198" t="str">
        <f>VLOOKUP(T116,AA34:AB45,2,0)</f>
        <v>No Change</v>
      </c>
      <c r="V116" s="172"/>
      <c r="X116" s="153">
        <f>IF(U83=2,"","28")</f>
      </c>
      <c r="AA116" s="171">
        <v>31</v>
      </c>
      <c r="AB116" s="155">
        <v>15700</v>
      </c>
      <c r="AC116" s="194">
        <v>8170</v>
      </c>
      <c r="AD116" s="194">
        <v>8385</v>
      </c>
      <c r="AE116" s="155">
        <v>15700</v>
      </c>
      <c r="AF116" s="155">
        <v>16150</v>
      </c>
      <c r="AG116" s="155">
        <v>16600</v>
      </c>
    </row>
    <row r="117" spans="1:33" ht="26.25" customHeight="1" hidden="1">
      <c r="A117" s="152"/>
      <c r="B117" s="153"/>
      <c r="C117" s="186" t="str">
        <f>IF(U83=2,CONCATENATE("No Promotion "),CONCATENATE("Promotion Arrears                                           ",I117))</f>
        <v>No Promotion </v>
      </c>
      <c r="D117" s="154"/>
      <c r="E117" s="154"/>
      <c r="F117" s="153"/>
      <c r="G117" s="153"/>
      <c r="H117" s="153"/>
      <c r="I117" s="153" t="str">
        <f>CONCATENATE(K114,"-",K115,"/",L115,"/",M115)</f>
        <v>23-31/01/2010</v>
      </c>
      <c r="J117" s="153"/>
      <c r="K117" s="153"/>
      <c r="L117" s="153"/>
      <c r="M117" s="153"/>
      <c r="N117" s="153"/>
      <c r="O117" s="153"/>
      <c r="P117" s="153"/>
      <c r="T117" s="171">
        <v>1</v>
      </c>
      <c r="U117" s="155">
        <f>VLOOKUP(T117,T110:U114,2,)</f>
        <v>0</v>
      </c>
      <c r="V117" s="172"/>
      <c r="X117" s="153">
        <f>IF(U83=2,"","29")</f>
      </c>
      <c r="AA117" s="171">
        <v>32</v>
      </c>
      <c r="AB117" s="155">
        <v>16150</v>
      </c>
      <c r="AC117" s="194">
        <v>8385</v>
      </c>
      <c r="AD117" s="194">
        <v>8600</v>
      </c>
      <c r="AE117" s="155">
        <v>16150</v>
      </c>
      <c r="AF117" s="155">
        <v>16600</v>
      </c>
      <c r="AG117" s="155">
        <v>17050</v>
      </c>
    </row>
    <row r="118" spans="1:33" ht="26.25" customHeight="1" hidden="1">
      <c r="A118" s="152"/>
      <c r="B118" s="153"/>
      <c r="C118" s="154">
        <f>ROUND(K118*(K115-K114+1)/K115,0.1)</f>
        <v>4558</v>
      </c>
      <c r="D118" s="154">
        <f>ROUND(C118*L118%,0.1)</f>
        <v>1366</v>
      </c>
      <c r="E118" s="154">
        <f>ROUND(C118*L119%,0.1)</f>
        <v>912</v>
      </c>
      <c r="F118" s="153"/>
      <c r="G118" s="153"/>
      <c r="H118" s="153"/>
      <c r="I118" s="153"/>
      <c r="J118" s="153"/>
      <c r="K118" s="153">
        <f>VLOOKUP(L114+1,AN26:AP37,3,0)</f>
        <v>15700</v>
      </c>
      <c r="L118" s="436">
        <f>VLOOKUP(L114+1,AN26:AQ37,4,0)</f>
        <v>29.96</v>
      </c>
      <c r="M118" s="153"/>
      <c r="N118" s="153"/>
      <c r="O118" s="153"/>
      <c r="P118" s="153"/>
      <c r="T118" s="171"/>
      <c r="U118" s="155"/>
      <c r="V118" s="172"/>
      <c r="X118" s="153">
        <f>IF(U83=2,"","30")</f>
      </c>
      <c r="AA118" s="171">
        <v>33</v>
      </c>
      <c r="AB118" s="155">
        <v>16600</v>
      </c>
      <c r="AC118" s="194">
        <v>8600</v>
      </c>
      <c r="AD118" s="194">
        <v>8815</v>
      </c>
      <c r="AE118" s="155">
        <v>16600</v>
      </c>
      <c r="AF118" s="155">
        <v>17050</v>
      </c>
      <c r="AG118" s="155">
        <v>17540</v>
      </c>
    </row>
    <row r="119" spans="1:33" ht="26.25" customHeight="1" hidden="1" thickBot="1">
      <c r="A119" s="152"/>
      <c r="B119" s="153"/>
      <c r="C119" s="154">
        <f>ROUND(K119*(K115-K114+1)/K115,0.1)</f>
        <v>4558</v>
      </c>
      <c r="D119" s="154">
        <f>ROUND(C119*L118%,0.1)</f>
        <v>1366</v>
      </c>
      <c r="E119" s="154">
        <f>ROUND(C119*L119%,0.1)</f>
        <v>912</v>
      </c>
      <c r="F119" s="153">
        <f>C119-C118</f>
        <v>0</v>
      </c>
      <c r="G119" s="153">
        <f>D119-D118</f>
        <v>0</v>
      </c>
      <c r="H119" s="153">
        <f>E119-E118</f>
        <v>0</v>
      </c>
      <c r="I119" s="153"/>
      <c r="J119" s="153"/>
      <c r="K119" s="153">
        <f>VLOOKUP(L114+2,AN26:AP37,3,0)</f>
        <v>15700</v>
      </c>
      <c r="L119" s="153">
        <f>VLOOKUP(L114+1,N35:Q46,3,)</f>
        <v>20</v>
      </c>
      <c r="M119" s="153"/>
      <c r="N119" s="153"/>
      <c r="O119" s="153"/>
      <c r="P119" s="153"/>
      <c r="T119" s="173"/>
      <c r="U119" s="174"/>
      <c r="V119" s="180"/>
      <c r="X119" s="153">
        <f>IF(U83=2,"","31")</f>
      </c>
      <c r="AA119" s="171">
        <v>34</v>
      </c>
      <c r="AB119" s="155">
        <v>17050</v>
      </c>
      <c r="AC119" s="194">
        <v>8815</v>
      </c>
      <c r="AD119" s="194">
        <v>9050</v>
      </c>
      <c r="AE119" s="155">
        <v>17050</v>
      </c>
      <c r="AF119" s="155">
        <v>17540</v>
      </c>
      <c r="AG119" s="155">
        <v>18030</v>
      </c>
    </row>
    <row r="120" spans="1:33" ht="26.25" customHeight="1" hidden="1">
      <c r="A120" s="152"/>
      <c r="B120" s="153"/>
      <c r="C120" s="154"/>
      <c r="D120" s="154"/>
      <c r="E120" s="154"/>
      <c r="F120" s="153">
        <f>IF(U83=2,0,F119)</f>
        <v>0</v>
      </c>
      <c r="G120" s="153">
        <f>IF(U83=2,0,G119)</f>
        <v>0</v>
      </c>
      <c r="H120" s="153">
        <f>IF(U83=2,0,H119)</f>
        <v>0</v>
      </c>
      <c r="I120" s="153"/>
      <c r="J120" s="153"/>
      <c r="K120" s="153"/>
      <c r="L120" s="153"/>
      <c r="M120" s="153"/>
      <c r="N120" s="153"/>
      <c r="O120" s="153"/>
      <c r="P120" s="153"/>
      <c r="AA120" s="171">
        <v>35</v>
      </c>
      <c r="AB120" s="155">
        <v>17540</v>
      </c>
      <c r="AC120" s="194">
        <v>9050</v>
      </c>
      <c r="AD120" s="194">
        <v>9285</v>
      </c>
      <c r="AE120" s="155">
        <v>17540</v>
      </c>
      <c r="AF120" s="155">
        <v>18030</v>
      </c>
      <c r="AG120" s="155">
        <v>18520</v>
      </c>
    </row>
    <row r="121" spans="1:33" ht="26.25" customHeight="1" hidden="1">
      <c r="A121" s="152"/>
      <c r="B121" s="153"/>
      <c r="C121" s="154"/>
      <c r="D121" s="154"/>
      <c r="E121" s="154"/>
      <c r="F121" s="153"/>
      <c r="G121" s="153"/>
      <c r="H121" s="153"/>
      <c r="I121" s="153"/>
      <c r="J121" s="153"/>
      <c r="K121" s="153"/>
      <c r="L121" s="153"/>
      <c r="M121" s="153"/>
      <c r="N121" s="153"/>
      <c r="O121" s="153"/>
      <c r="P121" s="153"/>
      <c r="AA121" s="171">
        <v>36</v>
      </c>
      <c r="AB121" s="155">
        <v>18030</v>
      </c>
      <c r="AC121" s="194">
        <v>9285</v>
      </c>
      <c r="AD121" s="194">
        <v>9520</v>
      </c>
      <c r="AE121" s="155">
        <v>18030</v>
      </c>
      <c r="AF121" s="155">
        <v>18520</v>
      </c>
      <c r="AG121" s="155">
        <v>19050</v>
      </c>
    </row>
    <row r="122" spans="1:33" ht="26.25" customHeight="1" hidden="1">
      <c r="A122" s="152"/>
      <c r="B122" s="153"/>
      <c r="C122" s="154"/>
      <c r="D122" s="154"/>
      <c r="E122" s="154"/>
      <c r="F122" s="153"/>
      <c r="G122" s="153"/>
      <c r="H122" s="153"/>
      <c r="I122" s="153"/>
      <c r="J122" s="153"/>
      <c r="K122" s="153"/>
      <c r="L122" s="153"/>
      <c r="M122" s="153"/>
      <c r="N122" s="153"/>
      <c r="O122" s="153"/>
      <c r="P122" s="153"/>
      <c r="AA122" s="171">
        <v>37</v>
      </c>
      <c r="AB122" s="155">
        <v>18520</v>
      </c>
      <c r="AC122" s="194">
        <v>9520</v>
      </c>
      <c r="AD122" s="194">
        <v>9775</v>
      </c>
      <c r="AE122" s="155">
        <v>18520</v>
      </c>
      <c r="AF122" s="155">
        <v>19050</v>
      </c>
      <c r="AG122" s="155">
        <v>19580</v>
      </c>
    </row>
    <row r="123" spans="1:33" ht="26.25" customHeight="1" hidden="1">
      <c r="A123" s="152"/>
      <c r="B123" s="153"/>
      <c r="C123" s="154"/>
      <c r="D123" s="154"/>
      <c r="E123" s="154"/>
      <c r="F123" s="153"/>
      <c r="G123" s="153"/>
      <c r="H123" s="153"/>
      <c r="I123" s="153"/>
      <c r="J123" s="153"/>
      <c r="K123" s="153"/>
      <c r="L123" s="153"/>
      <c r="M123" s="153"/>
      <c r="N123" s="153"/>
      <c r="O123" s="153"/>
      <c r="P123" s="153"/>
      <c r="AA123" s="171">
        <v>38</v>
      </c>
      <c r="AB123" s="155">
        <v>19050</v>
      </c>
      <c r="AC123" s="194">
        <v>9775</v>
      </c>
      <c r="AD123" s="194">
        <v>10030</v>
      </c>
      <c r="AE123" s="155">
        <v>19050</v>
      </c>
      <c r="AF123" s="155">
        <v>19580</v>
      </c>
      <c r="AG123" s="155">
        <v>20110</v>
      </c>
    </row>
    <row r="124" spans="1:33" ht="26.25" customHeight="1" hidden="1" thickBot="1">
      <c r="A124" s="152"/>
      <c r="B124" s="153"/>
      <c r="C124" s="154"/>
      <c r="D124" s="154"/>
      <c r="E124" s="154"/>
      <c r="F124" s="153"/>
      <c r="G124" s="153"/>
      <c r="H124" s="153"/>
      <c r="I124" s="153"/>
      <c r="J124" s="153"/>
      <c r="K124" s="153"/>
      <c r="L124" s="153"/>
      <c r="M124" s="153"/>
      <c r="N124" s="153"/>
      <c r="O124" s="153"/>
      <c r="P124" s="153"/>
      <c r="AA124" s="171">
        <v>39</v>
      </c>
      <c r="AB124" s="155">
        <v>19580</v>
      </c>
      <c r="AC124" s="194">
        <v>10030</v>
      </c>
      <c r="AD124" s="195">
        <v>10285</v>
      </c>
      <c r="AE124" s="155">
        <v>19580</v>
      </c>
      <c r="AF124" s="155">
        <v>20110</v>
      </c>
      <c r="AG124" s="155">
        <v>20680</v>
      </c>
    </row>
    <row r="125" spans="1:33" ht="26.25" customHeight="1" hidden="1" thickBot="1">
      <c r="A125" s="152"/>
      <c r="B125" s="153"/>
      <c r="C125" s="154"/>
      <c r="D125" s="154"/>
      <c r="E125" s="154"/>
      <c r="F125" s="153"/>
      <c r="G125" s="153"/>
      <c r="H125" s="153"/>
      <c r="I125" s="153"/>
      <c r="J125" s="153"/>
      <c r="K125" s="153"/>
      <c r="L125" s="153"/>
      <c r="M125" s="153"/>
      <c r="N125" s="153"/>
      <c r="O125" s="153"/>
      <c r="P125" s="153"/>
      <c r="AA125" s="171">
        <v>40</v>
      </c>
      <c r="AB125" s="155">
        <v>20110</v>
      </c>
      <c r="AC125" s="195">
        <v>10285</v>
      </c>
      <c r="AD125" s="196">
        <v>10565</v>
      </c>
      <c r="AE125" s="155">
        <v>20110</v>
      </c>
      <c r="AF125" s="155">
        <v>20680</v>
      </c>
      <c r="AG125" s="155">
        <v>21250</v>
      </c>
    </row>
    <row r="126" spans="1:33" ht="26.25" customHeight="1" hidden="1">
      <c r="A126" s="152"/>
      <c r="B126" s="153"/>
      <c r="C126" s="154"/>
      <c r="D126" s="154"/>
      <c r="E126" s="154"/>
      <c r="F126" s="153"/>
      <c r="G126" s="153"/>
      <c r="H126" s="153"/>
      <c r="I126" s="153"/>
      <c r="J126" s="153"/>
      <c r="K126" s="153"/>
      <c r="L126" s="153"/>
      <c r="M126" s="153"/>
      <c r="N126" s="153"/>
      <c r="O126" s="153"/>
      <c r="P126" s="153"/>
      <c r="AA126" s="171">
        <v>41</v>
      </c>
      <c r="AB126" s="155">
        <v>20680</v>
      </c>
      <c r="AC126" s="196">
        <v>10565</v>
      </c>
      <c r="AD126" s="194">
        <v>10845</v>
      </c>
      <c r="AE126" s="155">
        <v>20680</v>
      </c>
      <c r="AF126" s="155">
        <v>21250</v>
      </c>
      <c r="AG126" s="155">
        <v>21820</v>
      </c>
    </row>
    <row r="127" spans="1:33" ht="26.25" customHeight="1" hidden="1">
      <c r="A127" s="152"/>
      <c r="B127" s="153"/>
      <c r="C127" s="154"/>
      <c r="D127" s="154"/>
      <c r="E127" s="154"/>
      <c r="F127" s="153"/>
      <c r="G127" s="153"/>
      <c r="H127" s="153"/>
      <c r="I127" s="153"/>
      <c r="J127" s="153"/>
      <c r="K127" s="153"/>
      <c r="L127" s="153"/>
      <c r="M127" s="153"/>
      <c r="N127" s="153"/>
      <c r="O127" s="153"/>
      <c r="P127" s="153"/>
      <c r="AA127" s="171">
        <v>42</v>
      </c>
      <c r="AB127" s="155">
        <v>21250</v>
      </c>
      <c r="AC127" s="194">
        <v>10845</v>
      </c>
      <c r="AD127" s="194">
        <v>11125</v>
      </c>
      <c r="AE127" s="155">
        <v>21250</v>
      </c>
      <c r="AF127" s="155">
        <v>21820</v>
      </c>
      <c r="AG127" s="155">
        <v>22430</v>
      </c>
    </row>
    <row r="128" spans="1:33" ht="26.25" customHeight="1" hidden="1">
      <c r="A128" s="152"/>
      <c r="B128" s="153"/>
      <c r="C128" s="154"/>
      <c r="D128" s="154"/>
      <c r="E128" s="154"/>
      <c r="F128" s="153"/>
      <c r="G128" s="153"/>
      <c r="H128" s="153"/>
      <c r="I128" s="153"/>
      <c r="J128" s="153"/>
      <c r="K128" s="153"/>
      <c r="L128" s="153"/>
      <c r="M128" s="153"/>
      <c r="N128" s="153"/>
      <c r="O128" s="153"/>
      <c r="P128" s="153"/>
      <c r="AA128" s="171">
        <v>43</v>
      </c>
      <c r="AB128" s="155">
        <v>21820</v>
      </c>
      <c r="AC128" s="194">
        <v>11125</v>
      </c>
      <c r="AD128" s="194">
        <v>11440</v>
      </c>
      <c r="AE128" s="155">
        <v>21820</v>
      </c>
      <c r="AF128" s="155">
        <v>22430</v>
      </c>
      <c r="AG128" s="155">
        <v>23040</v>
      </c>
    </row>
    <row r="129" spans="1:33" ht="26.25" customHeight="1" hidden="1">
      <c r="A129" s="152"/>
      <c r="B129" s="153"/>
      <c r="C129" s="154"/>
      <c r="D129" s="154"/>
      <c r="E129" s="154"/>
      <c r="F129" s="153"/>
      <c r="G129" s="153"/>
      <c r="H129" s="153"/>
      <c r="I129" s="153"/>
      <c r="J129" s="153"/>
      <c r="K129" s="153"/>
      <c r="L129" s="153"/>
      <c r="M129" s="153"/>
      <c r="N129" s="153"/>
      <c r="O129" s="153"/>
      <c r="P129" s="153"/>
      <c r="AA129" s="171">
        <v>44</v>
      </c>
      <c r="AB129" s="155">
        <v>22430</v>
      </c>
      <c r="AC129" s="194">
        <v>11440</v>
      </c>
      <c r="AD129" s="194">
        <v>11755</v>
      </c>
      <c r="AE129" s="155">
        <v>22430</v>
      </c>
      <c r="AF129" s="155">
        <v>23040</v>
      </c>
      <c r="AG129" s="155">
        <v>23650</v>
      </c>
    </row>
    <row r="130" spans="1:33" ht="26.25" customHeight="1" hidden="1">
      <c r="A130" s="152"/>
      <c r="B130" s="153"/>
      <c r="C130" s="154"/>
      <c r="D130" s="154"/>
      <c r="E130" s="154"/>
      <c r="F130" s="153"/>
      <c r="G130" s="153"/>
      <c r="H130" s="153"/>
      <c r="I130" s="153"/>
      <c r="J130" s="153"/>
      <c r="K130" s="153"/>
      <c r="L130" s="153"/>
      <c r="M130" s="153"/>
      <c r="N130" s="153"/>
      <c r="O130" s="153"/>
      <c r="P130" s="153"/>
      <c r="AA130" s="171">
        <v>45</v>
      </c>
      <c r="AB130" s="155">
        <v>23040</v>
      </c>
      <c r="AC130" s="194">
        <v>11755</v>
      </c>
      <c r="AD130" s="194">
        <v>12070</v>
      </c>
      <c r="AE130" s="155">
        <v>23040</v>
      </c>
      <c r="AF130" s="155">
        <v>23650</v>
      </c>
      <c r="AG130" s="155">
        <v>24300</v>
      </c>
    </row>
    <row r="131" spans="1:33" ht="26.25" customHeight="1" hidden="1">
      <c r="A131" s="152"/>
      <c r="B131" s="153"/>
      <c r="C131" s="154"/>
      <c r="D131" s="154"/>
      <c r="E131" s="154"/>
      <c r="F131" s="153"/>
      <c r="G131" s="153"/>
      <c r="H131" s="153"/>
      <c r="I131" s="153"/>
      <c r="J131" s="153"/>
      <c r="K131" s="153"/>
      <c r="L131" s="153"/>
      <c r="M131" s="153"/>
      <c r="N131" s="153"/>
      <c r="O131" s="153"/>
      <c r="P131" s="153"/>
      <c r="AA131" s="171">
        <v>46</v>
      </c>
      <c r="AB131" s="155">
        <v>23650</v>
      </c>
      <c r="AC131" s="194">
        <v>12070</v>
      </c>
      <c r="AD131" s="194">
        <v>12385</v>
      </c>
      <c r="AE131" s="155">
        <v>23650</v>
      </c>
      <c r="AF131" s="155">
        <v>24300</v>
      </c>
      <c r="AG131" s="155">
        <v>24950</v>
      </c>
    </row>
    <row r="132" spans="1:33" ht="26.25" customHeight="1" hidden="1">
      <c r="A132" s="152"/>
      <c r="B132" s="153"/>
      <c r="C132" s="154"/>
      <c r="D132" s="154"/>
      <c r="E132" s="154"/>
      <c r="F132" s="153"/>
      <c r="G132" s="153"/>
      <c r="H132" s="153"/>
      <c r="I132" s="153"/>
      <c r="J132" s="153"/>
      <c r="K132" s="153"/>
      <c r="L132" s="153"/>
      <c r="M132" s="153"/>
      <c r="N132" s="153"/>
      <c r="O132" s="153"/>
      <c r="P132" s="153"/>
      <c r="AA132" s="171">
        <v>47</v>
      </c>
      <c r="AB132" s="155">
        <v>24300</v>
      </c>
      <c r="AC132" s="194">
        <v>12385</v>
      </c>
      <c r="AD132" s="194">
        <v>12700</v>
      </c>
      <c r="AE132" s="155">
        <v>24300</v>
      </c>
      <c r="AF132" s="155">
        <v>24950</v>
      </c>
      <c r="AG132" s="155">
        <v>25600</v>
      </c>
    </row>
    <row r="133" spans="1:33" ht="26.25" customHeight="1" hidden="1">
      <c r="A133" s="152"/>
      <c r="B133" s="153"/>
      <c r="C133" s="154"/>
      <c r="D133" s="154"/>
      <c r="E133" s="154"/>
      <c r="F133" s="153"/>
      <c r="G133" s="153"/>
      <c r="H133" s="153"/>
      <c r="I133" s="153"/>
      <c r="J133" s="153"/>
      <c r="K133" s="153"/>
      <c r="L133" s="153"/>
      <c r="M133" s="153"/>
      <c r="N133" s="153"/>
      <c r="O133" s="153"/>
      <c r="P133" s="153"/>
      <c r="AA133" s="171">
        <v>48</v>
      </c>
      <c r="AB133" s="155">
        <v>24950</v>
      </c>
      <c r="AC133" s="194">
        <v>12700</v>
      </c>
      <c r="AD133" s="194">
        <v>13030</v>
      </c>
      <c r="AE133" s="155">
        <v>24950</v>
      </c>
      <c r="AF133" s="155">
        <v>25600</v>
      </c>
      <c r="AG133" s="155">
        <v>26300</v>
      </c>
    </row>
    <row r="134" spans="1:33" ht="26.25" customHeight="1" hidden="1">
      <c r="A134" s="152"/>
      <c r="B134" s="153"/>
      <c r="C134" s="154"/>
      <c r="D134" s="154"/>
      <c r="E134" s="154"/>
      <c r="F134" s="153"/>
      <c r="G134" s="153"/>
      <c r="H134" s="153"/>
      <c r="I134" s="153"/>
      <c r="J134" s="153"/>
      <c r="K134" s="153"/>
      <c r="L134" s="153"/>
      <c r="M134" s="153"/>
      <c r="N134" s="153"/>
      <c r="O134" s="153"/>
      <c r="P134" s="153"/>
      <c r="AA134" s="171">
        <v>49</v>
      </c>
      <c r="AB134" s="155">
        <v>25600</v>
      </c>
      <c r="AC134" s="194">
        <v>13030</v>
      </c>
      <c r="AD134" s="194">
        <v>13390</v>
      </c>
      <c r="AE134" s="155">
        <v>25600</v>
      </c>
      <c r="AF134" s="155">
        <v>26300</v>
      </c>
      <c r="AG134" s="155">
        <v>27000</v>
      </c>
    </row>
    <row r="135" spans="1:33" ht="26.25" customHeight="1" hidden="1">
      <c r="A135" s="152"/>
      <c r="B135" s="153"/>
      <c r="C135" s="154"/>
      <c r="D135" s="154"/>
      <c r="E135" s="154"/>
      <c r="F135" s="153"/>
      <c r="G135" s="153"/>
      <c r="H135" s="153"/>
      <c r="I135" s="153"/>
      <c r="J135" s="153"/>
      <c r="K135" s="153"/>
      <c r="L135" s="153"/>
      <c r="M135" s="153"/>
      <c r="N135" s="153"/>
      <c r="O135" s="153"/>
      <c r="P135" s="153"/>
      <c r="AA135" s="171">
        <v>50</v>
      </c>
      <c r="AB135" s="155">
        <v>26300</v>
      </c>
      <c r="AC135" s="194">
        <v>13390</v>
      </c>
      <c r="AD135" s="194">
        <v>13750</v>
      </c>
      <c r="AE135" s="155">
        <v>26300</v>
      </c>
      <c r="AF135" s="155">
        <v>27000</v>
      </c>
      <c r="AG135" s="155">
        <v>27700</v>
      </c>
    </row>
    <row r="136" spans="1:33" ht="26.25" customHeight="1" hidden="1">
      <c r="A136" s="152"/>
      <c r="B136" s="153"/>
      <c r="C136" s="154"/>
      <c r="D136" s="154"/>
      <c r="E136" s="154"/>
      <c r="F136" s="153"/>
      <c r="G136" s="153"/>
      <c r="H136" s="153"/>
      <c r="I136" s="153"/>
      <c r="J136" s="153"/>
      <c r="K136" s="153"/>
      <c r="L136" s="153"/>
      <c r="M136" s="153"/>
      <c r="N136" s="153"/>
      <c r="O136" s="153"/>
      <c r="P136" s="153"/>
      <c r="AA136" s="171">
        <v>51</v>
      </c>
      <c r="AB136" s="155">
        <v>27000</v>
      </c>
      <c r="AC136" s="194">
        <v>13750</v>
      </c>
      <c r="AD136" s="194">
        <v>14175</v>
      </c>
      <c r="AE136" s="155">
        <v>27000</v>
      </c>
      <c r="AF136" s="155">
        <v>27700</v>
      </c>
      <c r="AG136" s="155">
        <v>28450</v>
      </c>
    </row>
    <row r="137" spans="1:33" ht="26.25" customHeight="1" hidden="1">
      <c r="A137" s="152"/>
      <c r="B137" s="153"/>
      <c r="C137" s="154"/>
      <c r="D137" s="154"/>
      <c r="E137" s="154"/>
      <c r="F137" s="153"/>
      <c r="G137" s="153"/>
      <c r="H137" s="153"/>
      <c r="I137" s="153"/>
      <c r="J137" s="153"/>
      <c r="K137" s="153"/>
      <c r="L137" s="153"/>
      <c r="M137" s="153"/>
      <c r="N137" s="153"/>
      <c r="O137" s="153"/>
      <c r="P137" s="153"/>
      <c r="AA137" s="171">
        <v>52</v>
      </c>
      <c r="AB137" s="155">
        <v>27700</v>
      </c>
      <c r="AC137" s="194">
        <v>14175</v>
      </c>
      <c r="AD137" s="194">
        <v>14600</v>
      </c>
      <c r="AE137" s="155">
        <v>27700</v>
      </c>
      <c r="AF137" s="155">
        <v>28450</v>
      </c>
      <c r="AG137" s="155">
        <v>29200</v>
      </c>
    </row>
    <row r="138" spans="1:33" ht="26.25" customHeight="1" hidden="1">
      <c r="A138" s="152"/>
      <c r="B138" s="153"/>
      <c r="C138" s="154"/>
      <c r="D138" s="154"/>
      <c r="E138" s="154"/>
      <c r="F138" s="153"/>
      <c r="G138" s="153"/>
      <c r="H138" s="153"/>
      <c r="I138" s="153"/>
      <c r="J138" s="153"/>
      <c r="K138" s="153"/>
      <c r="L138" s="153"/>
      <c r="M138" s="153"/>
      <c r="N138" s="153"/>
      <c r="O138" s="153"/>
      <c r="P138" s="153"/>
      <c r="AA138" s="171">
        <v>53</v>
      </c>
      <c r="AB138" s="155">
        <v>28450</v>
      </c>
      <c r="AC138" s="194">
        <v>14600</v>
      </c>
      <c r="AD138" s="194">
        <v>15025</v>
      </c>
      <c r="AE138" s="155">
        <v>28450</v>
      </c>
      <c r="AF138" s="155">
        <v>29200</v>
      </c>
      <c r="AG138" s="155">
        <v>29950</v>
      </c>
    </row>
    <row r="139" spans="1:33" ht="26.25" customHeight="1" hidden="1">
      <c r="A139" s="152"/>
      <c r="B139" s="153"/>
      <c r="C139" s="154"/>
      <c r="D139" s="154"/>
      <c r="E139" s="154"/>
      <c r="F139" s="153"/>
      <c r="G139" s="153"/>
      <c r="H139" s="153"/>
      <c r="I139" s="153"/>
      <c r="J139" s="153"/>
      <c r="K139" s="153"/>
      <c r="L139" s="153"/>
      <c r="M139" s="153"/>
      <c r="N139" s="153"/>
      <c r="O139" s="153"/>
      <c r="P139" s="153"/>
      <c r="AA139" s="171">
        <v>54</v>
      </c>
      <c r="AB139" s="155">
        <v>29200</v>
      </c>
      <c r="AC139" s="194">
        <v>15025</v>
      </c>
      <c r="AD139" s="194">
        <v>15500</v>
      </c>
      <c r="AE139" s="155">
        <v>29200</v>
      </c>
      <c r="AF139" s="155">
        <v>29950</v>
      </c>
      <c r="AG139" s="155">
        <v>30750</v>
      </c>
    </row>
    <row r="140" spans="1:33" ht="26.25" customHeight="1" hidden="1">
      <c r="A140" s="152"/>
      <c r="B140" s="153"/>
      <c r="C140" s="154"/>
      <c r="D140" s="154"/>
      <c r="E140" s="154"/>
      <c r="F140" s="153"/>
      <c r="G140" s="153"/>
      <c r="H140" s="153"/>
      <c r="I140" s="153"/>
      <c r="J140" s="153"/>
      <c r="K140" s="153"/>
      <c r="L140" s="153"/>
      <c r="M140" s="153"/>
      <c r="N140" s="153"/>
      <c r="O140" s="153"/>
      <c r="P140" s="153"/>
      <c r="AA140" s="171">
        <v>55</v>
      </c>
      <c r="AB140" s="155">
        <v>29950</v>
      </c>
      <c r="AC140" s="194">
        <v>15500</v>
      </c>
      <c r="AD140" s="194">
        <v>15975</v>
      </c>
      <c r="AE140" s="155">
        <v>29950</v>
      </c>
      <c r="AF140" s="155">
        <v>30750</v>
      </c>
      <c r="AG140" s="155">
        <v>31550</v>
      </c>
    </row>
    <row r="141" spans="1:33" ht="26.25" customHeight="1" hidden="1">
      <c r="A141" s="152"/>
      <c r="B141" s="153"/>
      <c r="C141" s="154"/>
      <c r="D141" s="154"/>
      <c r="E141" s="154"/>
      <c r="F141" s="153"/>
      <c r="G141" s="153"/>
      <c r="H141" s="153"/>
      <c r="I141" s="153"/>
      <c r="J141" s="153"/>
      <c r="K141" s="153"/>
      <c r="L141" s="153"/>
      <c r="M141" s="153"/>
      <c r="N141" s="153"/>
      <c r="O141" s="153"/>
      <c r="P141" s="153"/>
      <c r="AA141" s="171">
        <v>56</v>
      </c>
      <c r="AB141" s="155">
        <v>30750</v>
      </c>
      <c r="AC141" s="194">
        <v>15975</v>
      </c>
      <c r="AD141" s="194">
        <v>16450</v>
      </c>
      <c r="AE141" s="155">
        <v>30750</v>
      </c>
      <c r="AF141" s="155">
        <v>31550</v>
      </c>
      <c r="AG141" s="155">
        <v>32350</v>
      </c>
    </row>
    <row r="142" spans="1:33" ht="26.25" customHeight="1" hidden="1">
      <c r="A142" s="152"/>
      <c r="B142" s="153"/>
      <c r="C142" s="154"/>
      <c r="D142" s="154"/>
      <c r="E142" s="154"/>
      <c r="F142" s="153"/>
      <c r="G142" s="153"/>
      <c r="H142" s="153"/>
      <c r="I142" s="153"/>
      <c r="J142" s="153"/>
      <c r="K142" s="153"/>
      <c r="L142" s="153"/>
      <c r="M142" s="153"/>
      <c r="N142" s="153"/>
      <c r="O142" s="153"/>
      <c r="P142" s="153"/>
      <c r="AA142" s="171">
        <v>57</v>
      </c>
      <c r="AB142" s="155">
        <v>31550</v>
      </c>
      <c r="AC142" s="194">
        <v>16450</v>
      </c>
      <c r="AD142" s="194">
        <v>16925</v>
      </c>
      <c r="AE142" s="155">
        <v>31550</v>
      </c>
      <c r="AF142" s="155">
        <v>32350</v>
      </c>
      <c r="AG142" s="155">
        <v>33200</v>
      </c>
    </row>
    <row r="143" spans="1:33" ht="26.25" customHeight="1" hidden="1">
      <c r="A143" s="152"/>
      <c r="B143" s="153"/>
      <c r="C143" s="154"/>
      <c r="D143" s="154"/>
      <c r="E143" s="154"/>
      <c r="F143" s="153"/>
      <c r="G143" s="153"/>
      <c r="H143" s="153"/>
      <c r="I143" s="153"/>
      <c r="J143" s="153"/>
      <c r="K143" s="153"/>
      <c r="L143" s="153"/>
      <c r="M143" s="153"/>
      <c r="N143" s="153"/>
      <c r="O143" s="153"/>
      <c r="P143" s="153"/>
      <c r="AA143" s="171">
        <v>58</v>
      </c>
      <c r="AB143" s="155">
        <v>32350</v>
      </c>
      <c r="AC143" s="194">
        <v>16925</v>
      </c>
      <c r="AD143" s="194">
        <v>17475</v>
      </c>
      <c r="AE143" s="155">
        <v>32350</v>
      </c>
      <c r="AF143" s="155">
        <v>33200</v>
      </c>
      <c r="AG143" s="155">
        <v>34050</v>
      </c>
    </row>
    <row r="144" spans="1:33" ht="26.25" customHeight="1" hidden="1" thickBot="1">
      <c r="A144" s="152"/>
      <c r="B144" s="153"/>
      <c r="C144" s="154"/>
      <c r="D144" s="154"/>
      <c r="E144" s="154"/>
      <c r="F144" s="153"/>
      <c r="G144" s="153"/>
      <c r="H144" s="153"/>
      <c r="I144" s="153"/>
      <c r="J144" s="153"/>
      <c r="K144" s="153"/>
      <c r="L144" s="153"/>
      <c r="M144" s="153"/>
      <c r="N144" s="153"/>
      <c r="O144" s="153"/>
      <c r="P144" s="153"/>
      <c r="AA144" s="171">
        <v>59</v>
      </c>
      <c r="AB144" s="155">
        <v>33200</v>
      </c>
      <c r="AC144" s="194">
        <v>17475</v>
      </c>
      <c r="AD144" s="195">
        <v>18025</v>
      </c>
      <c r="AE144" s="155">
        <v>33200</v>
      </c>
      <c r="AF144" s="155">
        <v>34050</v>
      </c>
      <c r="AG144" s="155">
        <v>34900</v>
      </c>
    </row>
    <row r="145" spans="1:33" ht="26.25" customHeight="1" hidden="1" thickBot="1">
      <c r="A145" s="152"/>
      <c r="B145" s="153"/>
      <c r="C145" s="154"/>
      <c r="D145" s="154"/>
      <c r="E145" s="154"/>
      <c r="F145" s="153"/>
      <c r="G145" s="153"/>
      <c r="H145" s="153"/>
      <c r="I145" s="153"/>
      <c r="J145" s="153"/>
      <c r="K145" s="153"/>
      <c r="L145" s="153"/>
      <c r="M145" s="153"/>
      <c r="N145" s="153"/>
      <c r="O145" s="153"/>
      <c r="P145" s="153"/>
      <c r="AA145" s="171">
        <v>60</v>
      </c>
      <c r="AB145" s="155">
        <v>34050</v>
      </c>
      <c r="AC145" s="195">
        <v>18025</v>
      </c>
      <c r="AD145" s="196">
        <v>18575</v>
      </c>
      <c r="AE145" s="155">
        <v>34050</v>
      </c>
      <c r="AF145" s="155">
        <v>34900</v>
      </c>
      <c r="AG145" s="155">
        <v>35800</v>
      </c>
    </row>
    <row r="146" spans="1:33" ht="26.25" customHeight="1" hidden="1">
      <c r="A146" s="152"/>
      <c r="B146" s="153"/>
      <c r="C146" s="154"/>
      <c r="D146" s="154"/>
      <c r="E146" s="154"/>
      <c r="F146" s="153"/>
      <c r="G146" s="153"/>
      <c r="H146" s="153"/>
      <c r="I146" s="153"/>
      <c r="J146" s="153"/>
      <c r="K146" s="153"/>
      <c r="L146" s="153"/>
      <c r="M146" s="153"/>
      <c r="N146" s="153"/>
      <c r="O146" s="153"/>
      <c r="P146" s="153"/>
      <c r="AA146" s="171">
        <v>61</v>
      </c>
      <c r="AB146" s="155">
        <v>34900</v>
      </c>
      <c r="AC146" s="196">
        <v>18575</v>
      </c>
      <c r="AD146" s="194">
        <v>19125</v>
      </c>
      <c r="AE146" s="155">
        <v>34900</v>
      </c>
      <c r="AF146" s="155">
        <v>35800</v>
      </c>
      <c r="AG146" s="155">
        <v>36700</v>
      </c>
    </row>
    <row r="147" spans="1:33" ht="26.25" customHeight="1" hidden="1">
      <c r="A147" s="152"/>
      <c r="B147" s="153"/>
      <c r="C147" s="154"/>
      <c r="D147" s="154"/>
      <c r="E147" s="154"/>
      <c r="F147" s="153"/>
      <c r="G147" s="153"/>
      <c r="H147" s="153"/>
      <c r="I147" s="153"/>
      <c r="J147" s="153"/>
      <c r="K147" s="153"/>
      <c r="L147" s="153"/>
      <c r="M147" s="153"/>
      <c r="N147" s="153"/>
      <c r="O147" s="153"/>
      <c r="P147" s="153"/>
      <c r="AA147" s="171">
        <v>62</v>
      </c>
      <c r="AB147" s="155">
        <v>35800</v>
      </c>
      <c r="AC147" s="194">
        <v>19125</v>
      </c>
      <c r="AD147" s="194">
        <v>19675</v>
      </c>
      <c r="AE147" s="155">
        <v>35800</v>
      </c>
      <c r="AF147" s="155">
        <v>36700</v>
      </c>
      <c r="AG147" s="155">
        <v>37600</v>
      </c>
    </row>
    <row r="148" spans="1:33" ht="26.25" customHeight="1" hidden="1">
      <c r="A148" s="152"/>
      <c r="B148" s="153"/>
      <c r="C148" s="154"/>
      <c r="D148" s="154"/>
      <c r="E148" s="154"/>
      <c r="F148" s="153"/>
      <c r="G148" s="153"/>
      <c r="H148" s="153"/>
      <c r="I148" s="153"/>
      <c r="J148" s="153"/>
      <c r="K148" s="153"/>
      <c r="L148" s="153"/>
      <c r="M148" s="153"/>
      <c r="N148" s="153"/>
      <c r="O148" s="153"/>
      <c r="P148" s="153"/>
      <c r="AA148" s="171">
        <v>63</v>
      </c>
      <c r="AB148" s="155">
        <v>36700</v>
      </c>
      <c r="AC148" s="194">
        <v>19675</v>
      </c>
      <c r="AD148" s="194">
        <v>20300</v>
      </c>
      <c r="AE148" s="155">
        <v>36700</v>
      </c>
      <c r="AF148" s="155">
        <v>37600</v>
      </c>
      <c r="AG148" s="155">
        <v>38570</v>
      </c>
    </row>
    <row r="149" spans="1:33" ht="26.25" customHeight="1" hidden="1">
      <c r="A149" s="152"/>
      <c r="B149" s="153"/>
      <c r="C149" s="154"/>
      <c r="D149" s="154"/>
      <c r="E149" s="154"/>
      <c r="F149" s="153"/>
      <c r="G149" s="153"/>
      <c r="H149" s="153"/>
      <c r="I149" s="153"/>
      <c r="J149" s="153"/>
      <c r="K149" s="153"/>
      <c r="L149" s="153"/>
      <c r="M149" s="153"/>
      <c r="N149" s="153"/>
      <c r="O149" s="153"/>
      <c r="P149" s="153"/>
      <c r="AA149" s="171">
        <v>64</v>
      </c>
      <c r="AB149" s="155">
        <v>37600</v>
      </c>
      <c r="AC149" s="194">
        <v>20300</v>
      </c>
      <c r="AD149" s="194">
        <v>20925</v>
      </c>
      <c r="AE149" s="155">
        <v>37600</v>
      </c>
      <c r="AF149" s="155">
        <v>38570</v>
      </c>
      <c r="AG149" s="155">
        <v>39540</v>
      </c>
    </row>
    <row r="150" spans="1:33" ht="26.25" customHeight="1" hidden="1">
      <c r="A150" s="152"/>
      <c r="B150" s="153"/>
      <c r="C150" s="154"/>
      <c r="D150" s="154"/>
      <c r="E150" s="154"/>
      <c r="F150" s="153"/>
      <c r="G150" s="153"/>
      <c r="H150" s="153"/>
      <c r="I150" s="153"/>
      <c r="J150" s="153"/>
      <c r="K150" s="153"/>
      <c r="L150" s="153"/>
      <c r="M150" s="153"/>
      <c r="N150" s="153"/>
      <c r="O150" s="153"/>
      <c r="P150" s="153"/>
      <c r="AA150" s="171">
        <v>65</v>
      </c>
      <c r="AB150" s="155">
        <v>38570</v>
      </c>
      <c r="AC150" s="194">
        <v>20925</v>
      </c>
      <c r="AD150" s="194">
        <v>21550</v>
      </c>
      <c r="AE150" s="155">
        <v>38570</v>
      </c>
      <c r="AF150" s="155">
        <v>39540</v>
      </c>
      <c r="AG150" s="155">
        <v>40510</v>
      </c>
    </row>
    <row r="151" spans="1:33" ht="26.25" customHeight="1" hidden="1">
      <c r="A151" s="152"/>
      <c r="B151" s="153"/>
      <c r="C151" s="154"/>
      <c r="D151" s="154"/>
      <c r="E151" s="154"/>
      <c r="F151" s="153"/>
      <c r="G151" s="153"/>
      <c r="H151" s="153"/>
      <c r="I151" s="153"/>
      <c r="J151" s="153"/>
      <c r="K151" s="153"/>
      <c r="L151" s="153"/>
      <c r="M151" s="153"/>
      <c r="N151" s="153"/>
      <c r="O151" s="153"/>
      <c r="P151" s="153"/>
      <c r="AA151" s="171">
        <v>66</v>
      </c>
      <c r="AB151" s="155">
        <v>39540</v>
      </c>
      <c r="AC151" s="194">
        <v>21550</v>
      </c>
      <c r="AD151" s="194">
        <v>22175</v>
      </c>
      <c r="AE151" s="155">
        <v>39540</v>
      </c>
      <c r="AF151" s="155">
        <v>40510</v>
      </c>
      <c r="AG151" s="155">
        <v>41550</v>
      </c>
    </row>
    <row r="152" spans="1:33" ht="26.25" customHeight="1" hidden="1">
      <c r="A152" s="152"/>
      <c r="B152" s="153"/>
      <c r="C152" s="154"/>
      <c r="D152" s="154"/>
      <c r="E152" s="154"/>
      <c r="F152" s="153"/>
      <c r="G152" s="153"/>
      <c r="H152" s="153"/>
      <c r="I152" s="153"/>
      <c r="J152" s="153"/>
      <c r="K152" s="153"/>
      <c r="L152" s="153"/>
      <c r="M152" s="153"/>
      <c r="N152" s="153"/>
      <c r="O152" s="153"/>
      <c r="P152" s="153"/>
      <c r="AA152" s="171">
        <v>67</v>
      </c>
      <c r="AB152" s="155">
        <v>40510</v>
      </c>
      <c r="AC152" s="194">
        <v>22175</v>
      </c>
      <c r="AD152" s="194">
        <v>22800</v>
      </c>
      <c r="AE152" s="155">
        <v>40510</v>
      </c>
      <c r="AF152" s="155">
        <v>41550</v>
      </c>
      <c r="AG152" s="155">
        <v>42590</v>
      </c>
    </row>
    <row r="153" spans="1:33" ht="26.25" customHeight="1" hidden="1">
      <c r="A153" s="152"/>
      <c r="B153" s="153"/>
      <c r="C153" s="154"/>
      <c r="D153" s="154"/>
      <c r="E153" s="154"/>
      <c r="F153" s="153"/>
      <c r="G153" s="153"/>
      <c r="H153" s="153"/>
      <c r="I153" s="153"/>
      <c r="J153" s="153"/>
      <c r="K153" s="153"/>
      <c r="L153" s="153"/>
      <c r="M153" s="153"/>
      <c r="N153" s="153"/>
      <c r="O153" s="153"/>
      <c r="P153" s="153"/>
      <c r="AA153" s="171">
        <v>68</v>
      </c>
      <c r="AB153" s="155">
        <v>41550</v>
      </c>
      <c r="AC153" s="194">
        <v>22800</v>
      </c>
      <c r="AD153" s="194">
        <v>23500</v>
      </c>
      <c r="AE153" s="155">
        <v>41550</v>
      </c>
      <c r="AF153" s="155">
        <v>42590</v>
      </c>
      <c r="AG153" s="155">
        <v>43630</v>
      </c>
    </row>
    <row r="154" spans="1:33" ht="26.25" customHeight="1" hidden="1">
      <c r="A154" s="152"/>
      <c r="B154" s="153"/>
      <c r="C154" s="154"/>
      <c r="D154" s="154"/>
      <c r="E154" s="154"/>
      <c r="F154" s="153"/>
      <c r="G154" s="153"/>
      <c r="H154" s="153"/>
      <c r="I154" s="153"/>
      <c r="J154" s="153"/>
      <c r="K154" s="153"/>
      <c r="L154" s="153"/>
      <c r="M154" s="153"/>
      <c r="N154" s="153"/>
      <c r="O154" s="153"/>
      <c r="P154" s="153"/>
      <c r="AA154" s="171">
        <v>69</v>
      </c>
      <c r="AB154" s="155">
        <v>42590</v>
      </c>
      <c r="AC154" s="194">
        <v>23500</v>
      </c>
      <c r="AD154" s="194">
        <v>24200</v>
      </c>
      <c r="AE154" s="155">
        <v>42590</v>
      </c>
      <c r="AF154" s="155">
        <v>43630</v>
      </c>
      <c r="AG154" s="155">
        <v>44740</v>
      </c>
    </row>
    <row r="155" spans="1:33" ht="26.25" customHeight="1" hidden="1">
      <c r="A155" s="152"/>
      <c r="B155" s="153"/>
      <c r="C155" s="154"/>
      <c r="D155" s="154"/>
      <c r="E155" s="154"/>
      <c r="F155" s="153"/>
      <c r="G155" s="153"/>
      <c r="H155" s="153"/>
      <c r="I155" s="153"/>
      <c r="J155" s="153"/>
      <c r="K155" s="153"/>
      <c r="L155" s="153"/>
      <c r="M155" s="153"/>
      <c r="N155" s="153"/>
      <c r="O155" s="153"/>
      <c r="P155" s="153"/>
      <c r="AA155" s="171">
        <v>70</v>
      </c>
      <c r="AB155" s="155">
        <v>43630</v>
      </c>
      <c r="AC155" s="194">
        <v>24200</v>
      </c>
      <c r="AD155" s="194">
        <v>24900</v>
      </c>
      <c r="AE155" s="155">
        <v>43630</v>
      </c>
      <c r="AF155" s="155">
        <v>44740</v>
      </c>
      <c r="AG155" s="155">
        <v>45850</v>
      </c>
    </row>
    <row r="156" spans="1:33" ht="26.25" customHeight="1" hidden="1">
      <c r="A156" s="152"/>
      <c r="B156" s="153"/>
      <c r="C156" s="154"/>
      <c r="D156" s="154"/>
      <c r="E156" s="154"/>
      <c r="F156" s="153"/>
      <c r="G156" s="153"/>
      <c r="H156" s="153"/>
      <c r="I156" s="153"/>
      <c r="J156" s="153"/>
      <c r="K156" s="153"/>
      <c r="L156" s="153"/>
      <c r="M156" s="153"/>
      <c r="N156" s="153"/>
      <c r="O156" s="153"/>
      <c r="P156" s="153"/>
      <c r="AA156" s="171">
        <v>71</v>
      </c>
      <c r="AB156" s="155">
        <v>44740</v>
      </c>
      <c r="AC156" s="194">
        <v>24900</v>
      </c>
      <c r="AD156" s="194">
        <v>25600</v>
      </c>
      <c r="AE156" s="155">
        <v>44740</v>
      </c>
      <c r="AF156" s="155">
        <v>45850</v>
      </c>
      <c r="AG156" s="155">
        <v>46960</v>
      </c>
    </row>
    <row r="157" spans="1:33" ht="26.25" customHeight="1" hidden="1">
      <c r="A157" s="152"/>
      <c r="B157" s="153"/>
      <c r="C157" s="154"/>
      <c r="D157" s="154"/>
      <c r="E157" s="154"/>
      <c r="F157" s="153"/>
      <c r="G157" s="153"/>
      <c r="H157" s="153"/>
      <c r="I157" s="153"/>
      <c r="J157" s="153"/>
      <c r="K157" s="153"/>
      <c r="L157" s="153"/>
      <c r="M157" s="153"/>
      <c r="N157" s="153"/>
      <c r="O157" s="153"/>
      <c r="P157" s="153"/>
      <c r="AA157" s="171">
        <v>72</v>
      </c>
      <c r="AB157" s="155">
        <v>45850</v>
      </c>
      <c r="AC157" s="194">
        <v>25600</v>
      </c>
      <c r="AD157" s="194">
        <v>26300</v>
      </c>
      <c r="AE157" s="155">
        <v>45850</v>
      </c>
      <c r="AF157" s="155">
        <v>46960</v>
      </c>
      <c r="AG157" s="155">
        <v>48160</v>
      </c>
    </row>
    <row r="158" spans="1:33" ht="26.25" customHeight="1" hidden="1">
      <c r="A158" s="152"/>
      <c r="B158" s="153"/>
      <c r="C158" s="154"/>
      <c r="D158" s="154"/>
      <c r="E158" s="154"/>
      <c r="F158" s="153"/>
      <c r="G158" s="153"/>
      <c r="H158" s="153"/>
      <c r="I158" s="153"/>
      <c r="J158" s="153"/>
      <c r="K158" s="153"/>
      <c r="L158" s="153"/>
      <c r="M158" s="153"/>
      <c r="N158" s="153"/>
      <c r="O158" s="153"/>
      <c r="P158" s="153"/>
      <c r="AA158" s="171">
        <v>73</v>
      </c>
      <c r="AB158" s="155">
        <v>46960</v>
      </c>
      <c r="AC158" s="194">
        <v>26300</v>
      </c>
      <c r="AD158" s="194">
        <v>27000</v>
      </c>
      <c r="AE158" s="155">
        <v>46960</v>
      </c>
      <c r="AF158" s="155">
        <v>48160</v>
      </c>
      <c r="AG158" s="155">
        <v>49360</v>
      </c>
    </row>
    <row r="159" spans="1:33" ht="26.25" customHeight="1" hidden="1">
      <c r="A159" s="152"/>
      <c r="B159" s="153"/>
      <c r="C159" s="154"/>
      <c r="D159" s="154"/>
      <c r="E159" s="154"/>
      <c r="F159" s="153"/>
      <c r="G159" s="153"/>
      <c r="H159" s="153"/>
      <c r="I159" s="153"/>
      <c r="J159" s="153"/>
      <c r="K159" s="153"/>
      <c r="L159" s="153"/>
      <c r="M159" s="153"/>
      <c r="N159" s="153"/>
      <c r="O159" s="153"/>
      <c r="P159" s="153"/>
      <c r="AA159" s="171">
        <v>74</v>
      </c>
      <c r="AB159" s="155">
        <v>48160</v>
      </c>
      <c r="AC159" s="194">
        <v>27000</v>
      </c>
      <c r="AD159" s="194">
        <v>27750</v>
      </c>
      <c r="AE159" s="155">
        <v>48160</v>
      </c>
      <c r="AF159" s="155">
        <v>49360</v>
      </c>
      <c r="AG159" s="155">
        <v>50560</v>
      </c>
    </row>
    <row r="160" spans="1:33" ht="26.25" customHeight="1" hidden="1">
      <c r="A160" s="152"/>
      <c r="B160" s="153"/>
      <c r="C160" s="154"/>
      <c r="D160" s="154"/>
      <c r="E160" s="154"/>
      <c r="F160" s="153"/>
      <c r="G160" s="153"/>
      <c r="H160" s="153"/>
      <c r="I160" s="153"/>
      <c r="J160" s="153"/>
      <c r="K160" s="153"/>
      <c r="L160" s="153"/>
      <c r="M160" s="153"/>
      <c r="N160" s="153"/>
      <c r="O160" s="153"/>
      <c r="P160" s="153"/>
      <c r="AA160" s="171">
        <v>75</v>
      </c>
      <c r="AB160" s="155">
        <v>49360</v>
      </c>
      <c r="AC160" s="194">
        <v>27750</v>
      </c>
      <c r="AD160" s="194">
        <v>28500</v>
      </c>
      <c r="AE160" s="155">
        <v>49360</v>
      </c>
      <c r="AF160" s="155">
        <v>50560</v>
      </c>
      <c r="AG160" s="155">
        <v>51760</v>
      </c>
    </row>
    <row r="161" spans="1:33" ht="26.25" customHeight="1" hidden="1">
      <c r="A161" s="152"/>
      <c r="B161" s="153"/>
      <c r="C161" s="154"/>
      <c r="D161" s="154"/>
      <c r="E161" s="154"/>
      <c r="F161" s="153"/>
      <c r="G161" s="153"/>
      <c r="H161" s="153"/>
      <c r="I161" s="153"/>
      <c r="J161" s="153"/>
      <c r="K161" s="153"/>
      <c r="L161" s="153"/>
      <c r="M161" s="153"/>
      <c r="N161" s="153"/>
      <c r="O161" s="153"/>
      <c r="P161" s="153"/>
      <c r="AA161" s="171">
        <v>76</v>
      </c>
      <c r="AB161" s="155">
        <v>50560</v>
      </c>
      <c r="AC161" s="194">
        <v>28500</v>
      </c>
      <c r="AD161" s="194">
        <v>29250</v>
      </c>
      <c r="AE161" s="155">
        <v>50560</v>
      </c>
      <c r="AF161" s="155">
        <v>51760</v>
      </c>
      <c r="AG161" s="155">
        <v>53060</v>
      </c>
    </row>
    <row r="162" spans="1:33" ht="26.25" customHeight="1" hidden="1">
      <c r="A162" s="152"/>
      <c r="B162" s="153"/>
      <c r="C162" s="154"/>
      <c r="D162" s="154"/>
      <c r="E162" s="154"/>
      <c r="F162" s="153"/>
      <c r="G162" s="153"/>
      <c r="H162" s="153"/>
      <c r="I162" s="153"/>
      <c r="J162" s="153"/>
      <c r="K162" s="153"/>
      <c r="L162" s="153"/>
      <c r="M162" s="153"/>
      <c r="N162" s="153"/>
      <c r="O162" s="153"/>
      <c r="P162" s="153"/>
      <c r="AA162" s="171">
        <v>77</v>
      </c>
      <c r="AB162" s="155">
        <v>51760</v>
      </c>
      <c r="AC162" s="194">
        <v>29250</v>
      </c>
      <c r="AD162" s="194">
        <v>30000</v>
      </c>
      <c r="AE162" s="155">
        <v>51760</v>
      </c>
      <c r="AF162" s="155">
        <v>53060</v>
      </c>
      <c r="AG162" s="155">
        <v>54360</v>
      </c>
    </row>
    <row r="163" spans="1:33" ht="26.25" customHeight="1" hidden="1">
      <c r="A163" s="152"/>
      <c r="B163" s="153"/>
      <c r="C163" s="154"/>
      <c r="D163" s="154"/>
      <c r="E163" s="154"/>
      <c r="F163" s="153"/>
      <c r="G163" s="153"/>
      <c r="H163" s="153"/>
      <c r="I163" s="153"/>
      <c r="J163" s="153"/>
      <c r="K163" s="153"/>
      <c r="L163" s="153"/>
      <c r="M163" s="153"/>
      <c r="N163" s="153"/>
      <c r="O163" s="153"/>
      <c r="P163" s="153"/>
      <c r="AA163" s="171">
        <v>78</v>
      </c>
      <c r="AB163" s="155">
        <v>53060</v>
      </c>
      <c r="AC163" s="194">
        <v>30000</v>
      </c>
      <c r="AD163" s="194">
        <v>30765</v>
      </c>
      <c r="AE163" s="155">
        <v>53060</v>
      </c>
      <c r="AF163" s="155">
        <v>54360</v>
      </c>
      <c r="AG163" s="155">
        <v>55660</v>
      </c>
    </row>
    <row r="164" spans="1:33" ht="26.25" customHeight="1" hidden="1">
      <c r="A164" s="152"/>
      <c r="B164" s="153"/>
      <c r="C164" s="154"/>
      <c r="D164" s="154"/>
      <c r="E164" s="154"/>
      <c r="F164" s="153"/>
      <c r="G164" s="153"/>
      <c r="H164" s="153"/>
      <c r="I164" s="153"/>
      <c r="J164" s="153"/>
      <c r="K164" s="153"/>
      <c r="L164" s="153"/>
      <c r="M164" s="153"/>
      <c r="N164" s="153"/>
      <c r="O164" s="153"/>
      <c r="P164" s="153"/>
      <c r="AA164" s="171">
        <v>79</v>
      </c>
      <c r="AB164" s="155">
        <v>54360</v>
      </c>
      <c r="AC164" s="194">
        <v>30765</v>
      </c>
      <c r="AE164" s="155">
        <v>54360</v>
      </c>
      <c r="AF164" s="155">
        <v>55660</v>
      </c>
      <c r="AG164" s="155">
        <v>55660</v>
      </c>
    </row>
    <row r="165" spans="1:33" ht="26.25" customHeight="1" hidden="1">
      <c r="A165" s="152"/>
      <c r="B165" s="153"/>
      <c r="C165" s="154"/>
      <c r="D165" s="154"/>
      <c r="E165" s="154"/>
      <c r="F165" s="153"/>
      <c r="G165" s="153"/>
      <c r="H165" s="153"/>
      <c r="I165" s="153"/>
      <c r="J165" s="153"/>
      <c r="K165" s="153"/>
      <c r="L165" s="153"/>
      <c r="M165" s="153"/>
      <c r="N165" s="153"/>
      <c r="O165" s="153"/>
      <c r="P165" s="153"/>
      <c r="AA165" s="171">
        <v>80</v>
      </c>
      <c r="AB165" s="155">
        <v>55660</v>
      </c>
      <c r="AC165" s="172"/>
      <c r="AE165" s="155">
        <v>55660</v>
      </c>
      <c r="AF165" s="155">
        <v>55660</v>
      </c>
      <c r="AG165" s="155">
        <v>55660</v>
      </c>
    </row>
    <row r="166" spans="1:29" ht="26.25" customHeight="1" hidden="1">
      <c r="A166" s="152"/>
      <c r="B166" s="153"/>
      <c r="C166" s="154"/>
      <c r="D166" s="154"/>
      <c r="E166" s="154"/>
      <c r="F166" s="153"/>
      <c r="G166" s="153"/>
      <c r="H166" s="153"/>
      <c r="I166" s="153"/>
      <c r="J166" s="153"/>
      <c r="K166" s="153"/>
      <c r="L166" s="153"/>
      <c r="M166" s="153"/>
      <c r="N166" s="153"/>
      <c r="O166" s="153"/>
      <c r="P166" s="153"/>
      <c r="AA166" s="171"/>
      <c r="AB166" s="155"/>
      <c r="AC166" s="172"/>
    </row>
    <row r="167" spans="1:29" ht="26.25" customHeight="1" hidden="1">
      <c r="A167" s="152"/>
      <c r="B167" s="153"/>
      <c r="C167" s="154"/>
      <c r="D167" s="154"/>
      <c r="E167" s="154"/>
      <c r="F167" s="153"/>
      <c r="G167" s="153"/>
      <c r="H167" s="153"/>
      <c r="I167" s="153"/>
      <c r="J167" s="153"/>
      <c r="K167" s="153"/>
      <c r="L167" s="153"/>
      <c r="M167" s="153"/>
      <c r="N167" s="153"/>
      <c r="O167" s="153"/>
      <c r="P167" s="153"/>
      <c r="AA167" s="171"/>
      <c r="AB167" s="155"/>
      <c r="AC167" s="172"/>
    </row>
    <row r="168" spans="1:29" ht="26.25" customHeight="1" hidden="1" thickBot="1">
      <c r="A168" s="152"/>
      <c r="B168" s="153"/>
      <c r="C168" s="154"/>
      <c r="D168" s="154"/>
      <c r="E168" s="154"/>
      <c r="F168" s="153"/>
      <c r="G168" s="153"/>
      <c r="H168" s="153"/>
      <c r="I168" s="153"/>
      <c r="J168" s="153"/>
      <c r="K168" s="153"/>
      <c r="L168" s="153"/>
      <c r="M168" s="153"/>
      <c r="N168" s="153"/>
      <c r="O168" s="153"/>
      <c r="P168" s="153"/>
      <c r="AA168" s="171"/>
      <c r="AB168" s="155">
        <v>22</v>
      </c>
      <c r="AC168" s="172"/>
    </row>
    <row r="169" spans="1:30" ht="26.25" customHeight="1" hidden="1" thickBot="1">
      <c r="A169" s="152"/>
      <c r="B169" s="153"/>
      <c r="C169" s="154"/>
      <c r="D169" s="154"/>
      <c r="E169" s="154"/>
      <c r="F169" s="153"/>
      <c r="G169" s="153"/>
      <c r="H169" s="153"/>
      <c r="I169" s="153"/>
      <c r="J169" s="153"/>
      <c r="K169" s="153"/>
      <c r="L169" s="153"/>
      <c r="M169" s="153"/>
      <c r="N169" s="153"/>
      <c r="O169" s="153"/>
      <c r="P169" s="153"/>
      <c r="AA169" s="197" t="s">
        <v>176</v>
      </c>
      <c r="AB169" s="199">
        <f>VLOOKUP(AA170,AA86:AC165,2,0)</f>
        <v>15280</v>
      </c>
      <c r="AC169" s="198" t="s">
        <v>180</v>
      </c>
      <c r="AD169" s="200">
        <f>IF(AA57=13,VLOOKUP(AB169,AC86:AD163,2,0),AB169)</f>
        <v>15280</v>
      </c>
    </row>
    <row r="170" spans="27:29" ht="26.25" customHeight="1" hidden="1">
      <c r="AA170" s="171">
        <v>30</v>
      </c>
      <c r="AB170" s="155">
        <v>30</v>
      </c>
      <c r="AC170" s="172"/>
    </row>
    <row r="171" spans="27:29" ht="26.25" customHeight="1" hidden="1" thickBot="1">
      <c r="AA171" s="173"/>
      <c r="AB171" s="174">
        <f>VLOOKUP(AB170,AA86:AC165,2,0)</f>
        <v>15280</v>
      </c>
      <c r="AC171" s="180" t="s">
        <v>181</v>
      </c>
    </row>
    <row r="172" ht="26.25" customHeight="1" hidden="1"/>
    <row r="173" ht="26.25" customHeight="1" hidden="1"/>
    <row r="174" ht="26.25" customHeight="1" hidden="1"/>
    <row r="175" ht="26.25" customHeight="1" hidden="1"/>
    <row r="176" ht="26.25" customHeight="1" hidden="1"/>
    <row r="177" ht="26.25" customHeight="1" hidden="1"/>
    <row r="178" ht="26.25" customHeight="1" hidden="1"/>
    <row r="179" ht="26.25" customHeight="1" hidden="1"/>
    <row r="180" ht="26.25" customHeight="1" hidden="1"/>
    <row r="181" ht="26.25" customHeight="1" hidden="1"/>
    <row r="182" ht="26.25" customHeight="1" hidden="1"/>
    <row r="183" ht="26.25" customHeight="1" hidden="1"/>
    <row r="184" ht="26.25" customHeight="1" hidden="1"/>
    <row r="185" ht="26.25" customHeight="1" hidden="1"/>
    <row r="186" ht="26.25" customHeight="1" hidden="1"/>
    <row r="187" ht="26.25" customHeight="1" hidden="1"/>
    <row r="188" ht="26.25" customHeight="1" hidden="1"/>
    <row r="189" ht="26.25" customHeight="1" hidden="1"/>
    <row r="190" ht="26.25" customHeight="1" hidden="1"/>
    <row r="191" ht="26.25" customHeight="1" hidden="1"/>
    <row r="192" ht="26.25" customHeight="1" hidden="1"/>
    <row r="193" ht="26.25" customHeight="1" hidden="1"/>
    <row r="194" ht="26.25" customHeight="1" hidden="1"/>
    <row r="195" ht="26.25" customHeight="1" hidden="1"/>
    <row r="196" ht="26.25" customHeight="1" hidden="1"/>
    <row r="197" ht="26.25" customHeight="1" hidden="1"/>
    <row r="198" ht="26.25" customHeight="1" hidden="1"/>
    <row r="199" ht="26.25" customHeight="1" hidden="1"/>
    <row r="200" ht="26.25" customHeight="1" hidden="1"/>
    <row r="201" ht="26.25" customHeight="1" hidden="1"/>
    <row r="202" ht="26.25" customHeight="1" hidden="1"/>
    <row r="203" ht="26.25" customHeight="1" hidden="1"/>
    <row r="204" ht="26.25" customHeight="1" hidden="1"/>
    <row r="205" ht="26.25" customHeight="1" hidden="1"/>
    <row r="206" ht="26.25" customHeight="1" hidden="1"/>
    <row r="207" ht="26.25" customHeight="1" hidden="1"/>
    <row r="208" ht="26.25" customHeight="1" hidden="1"/>
    <row r="209" ht="26.25" customHeight="1" hidden="1"/>
    <row r="210" ht="26.25" customHeight="1" hidden="1"/>
    <row r="211" ht="26.25" customHeight="1" hidden="1"/>
    <row r="212" ht="26.25" customHeight="1" hidden="1"/>
    <row r="213" ht="26.25" customHeight="1" hidden="1"/>
    <row r="214" ht="26.25" customHeight="1" hidden="1"/>
    <row r="215" ht="26.25" customHeight="1" hidden="1"/>
    <row r="216" ht="26.25" customHeight="1" hidden="1"/>
    <row r="217" ht="26.25" customHeight="1" hidden="1"/>
    <row r="218" ht="26.25" customHeight="1" hidden="1"/>
    <row r="219" ht="26.25" customHeight="1" hidden="1"/>
    <row r="220" ht="26.25" customHeight="1" hidden="1"/>
    <row r="221" ht="26.25" customHeight="1" hidden="1"/>
    <row r="222" ht="26.25" customHeight="1" hidden="1"/>
    <row r="223" ht="26.25" customHeight="1" hidden="1"/>
    <row r="224" ht="26.25" customHeight="1" hidden="1"/>
    <row r="225" ht="26.25" customHeight="1" hidden="1"/>
    <row r="226" ht="26.25" customHeight="1" hidden="1"/>
    <row r="227" ht="26.25" customHeight="1" hidden="1"/>
    <row r="228" ht="26.25" customHeight="1" hidden="1"/>
    <row r="229" ht="26.25" customHeight="1" hidden="1"/>
    <row r="230" ht="26.25" customHeight="1" hidden="1"/>
    <row r="231" ht="26.25" customHeight="1" hidden="1"/>
    <row r="232" ht="26.25" customHeight="1" hidden="1"/>
    <row r="233" ht="26.25" customHeight="1" hidden="1"/>
    <row r="234" ht="26.25" customHeight="1" hidden="1"/>
    <row r="235" ht="26.25" customHeight="1" hidden="1"/>
    <row r="236" ht="26.25" customHeight="1" hidden="1"/>
    <row r="237" ht="26.25" customHeight="1" hidden="1"/>
    <row r="238" ht="26.25" customHeight="1" hidden="1"/>
    <row r="239" ht="26.25" customHeight="1" hidden="1"/>
    <row r="240" ht="26.25" customHeight="1" hidden="1"/>
    <row r="241" ht="26.25" customHeight="1" hidden="1"/>
    <row r="242" ht="26.25" customHeight="1" hidden="1"/>
    <row r="243" ht="26.25" customHeight="1" hidden="1"/>
    <row r="244" ht="26.25" customHeight="1" hidden="1"/>
    <row r="245" ht="26.25" customHeight="1" hidden="1"/>
    <row r="246" ht="26.25" customHeight="1" hidden="1"/>
    <row r="247" ht="26.25" customHeight="1" hidden="1"/>
    <row r="248" ht="26.25" customHeight="1" hidden="1"/>
    <row r="249" ht="26.25" customHeight="1" hidden="1"/>
    <row r="250" ht="26.25" customHeight="1" hidden="1"/>
    <row r="251" ht="26.25" customHeight="1" hidden="1"/>
    <row r="252" ht="26.25" customHeight="1" hidden="1"/>
    <row r="253" ht="26.25" customHeight="1" hidden="1"/>
    <row r="254" ht="26.25" customHeight="1" hidden="1"/>
    <row r="255" ht="26.25" customHeight="1" hidden="1"/>
    <row r="256" ht="26.25" customHeight="1" hidden="1"/>
    <row r="257" ht="26.25" customHeight="1" hidden="1"/>
    <row r="258" ht="26.25" customHeight="1" hidden="1"/>
    <row r="259" ht="26.25" customHeight="1" hidden="1"/>
    <row r="260" ht="26.25" customHeight="1" hidden="1"/>
    <row r="261" ht="26.25" customHeight="1" hidden="1"/>
  </sheetData>
  <sheetProtection password="EEAE" sheet="1" objects="1" scenarios="1"/>
  <mergeCells count="80">
    <mergeCell ref="B10:B13"/>
    <mergeCell ref="E15:I15"/>
    <mergeCell ref="L15:N15"/>
    <mergeCell ref="E20:F20"/>
    <mergeCell ref="E10:H13"/>
    <mergeCell ref="I10:I13"/>
    <mergeCell ref="J10:L13"/>
    <mergeCell ref="N10:O13"/>
    <mergeCell ref="K7:N7"/>
    <mergeCell ref="D9:G9"/>
    <mergeCell ref="M9:O9"/>
    <mergeCell ref="N16:O16"/>
    <mergeCell ref="I28:M28"/>
    <mergeCell ref="G28:H28"/>
    <mergeCell ref="G24:H27"/>
    <mergeCell ref="E21:F21"/>
    <mergeCell ref="J9:K9"/>
    <mergeCell ref="B23:D23"/>
    <mergeCell ref="L107:M107"/>
    <mergeCell ref="O15:P15"/>
    <mergeCell ref="C15:D15"/>
    <mergeCell ref="C14:D14"/>
    <mergeCell ref="J14:K14"/>
    <mergeCell ref="L14:P14"/>
    <mergeCell ref="H16:K16"/>
    <mergeCell ref="F14:I14"/>
    <mergeCell ref="N51:P51"/>
    <mergeCell ref="N49:O49"/>
    <mergeCell ref="S50:V50"/>
    <mergeCell ref="B25:E25"/>
    <mergeCell ref="E6:I6"/>
    <mergeCell ref="D8:I8"/>
    <mergeCell ref="S51:U51"/>
    <mergeCell ref="H17:I17"/>
    <mergeCell ref="G18:K18"/>
    <mergeCell ref="G19:K19"/>
    <mergeCell ref="L17:O17"/>
    <mergeCell ref="S49:U49"/>
    <mergeCell ref="E5:H5"/>
    <mergeCell ref="B2:P2"/>
    <mergeCell ref="L4:P4"/>
    <mergeCell ref="D3:I3"/>
    <mergeCell ref="J3:K3"/>
    <mergeCell ref="J4:K4"/>
    <mergeCell ref="E23:F23"/>
    <mergeCell ref="E24:F24"/>
    <mergeCell ref="C4:I4"/>
    <mergeCell ref="C16:D16"/>
    <mergeCell ref="E18:F18"/>
    <mergeCell ref="E19:F19"/>
    <mergeCell ref="B18:D18"/>
    <mergeCell ref="B19:D19"/>
    <mergeCell ref="D7:G7"/>
    <mergeCell ref="B17:D17"/>
    <mergeCell ref="B24:C24"/>
    <mergeCell ref="AL34:AL38"/>
    <mergeCell ref="AL30:AL32"/>
    <mergeCell ref="AL26:AL28"/>
    <mergeCell ref="C26:F26"/>
    <mergeCell ref="C27:F27"/>
    <mergeCell ref="C28:F28"/>
    <mergeCell ref="B21:D21"/>
    <mergeCell ref="B22:D22"/>
    <mergeCell ref="M20:N20"/>
    <mergeCell ref="G22:K22"/>
    <mergeCell ref="B20:D20"/>
    <mergeCell ref="M22:N22"/>
    <mergeCell ref="G20:K20"/>
    <mergeCell ref="G21:K21"/>
    <mergeCell ref="E22:F22"/>
    <mergeCell ref="M21:N21"/>
    <mergeCell ref="P10:P13"/>
    <mergeCell ref="L104:M104"/>
    <mergeCell ref="L105:M105"/>
    <mergeCell ref="M23:N23"/>
    <mergeCell ref="O18:P18"/>
    <mergeCell ref="J8:K8"/>
    <mergeCell ref="M18:N18"/>
    <mergeCell ref="M19:N19"/>
    <mergeCell ref="G23:K23"/>
  </mergeCells>
  <printOptions/>
  <pageMargins left="0.7" right="0.7" top="0.75" bottom="0.75" header="0.3" footer="0.3"/>
  <pageSetup horizontalDpi="180" verticalDpi="180" orientation="portrait" paperSize="5" r:id="rId3"/>
  <drawing r:id="rId2"/>
  <legacyDrawing r:id="rId1"/>
</worksheet>
</file>

<file path=xl/worksheets/sheet3.xml><?xml version="1.0" encoding="utf-8"?>
<worksheet xmlns="http://schemas.openxmlformats.org/spreadsheetml/2006/main" xmlns:r="http://schemas.openxmlformats.org/officeDocument/2006/relationships">
  <dimension ref="A1:U29"/>
  <sheetViews>
    <sheetView showGridLines="0" zoomScalePageLayoutView="0" workbookViewId="0" topLeftCell="A1">
      <selection activeCell="T19" sqref="T19"/>
    </sheetView>
  </sheetViews>
  <sheetFormatPr defaultColWidth="9.140625" defaultRowHeight="13.5" customHeight="1"/>
  <cols>
    <col min="1" max="1" width="5.00390625" style="49" customWidth="1"/>
    <col min="2" max="2" width="12.57421875" style="49" customWidth="1"/>
    <col min="3" max="3" width="10.140625" style="52" customWidth="1"/>
    <col min="4" max="4" width="9.7109375" style="52" customWidth="1"/>
    <col min="5" max="5" width="8.421875" style="52" customWidth="1"/>
    <col min="6" max="6" width="6.8515625" style="52" customWidth="1"/>
    <col min="7" max="7" width="6.7109375" style="52" customWidth="1"/>
    <col min="8" max="8" width="7.00390625" style="52" customWidth="1"/>
    <col min="9" max="9" width="6.8515625" style="52" customWidth="1"/>
    <col min="10" max="10" width="5.8515625" style="52" customWidth="1"/>
    <col min="11" max="11" width="6.421875" style="52" customWidth="1"/>
    <col min="12" max="12" width="8.57421875" style="52" customWidth="1"/>
    <col min="13" max="13" width="8.140625" style="52" customWidth="1"/>
    <col min="14" max="14" width="6.57421875" style="52" customWidth="1"/>
    <col min="15" max="15" width="5.28125" style="52" customWidth="1"/>
    <col min="16" max="16" width="6.00390625" style="52" customWidth="1"/>
    <col min="17" max="17" width="7.140625" style="52" customWidth="1"/>
    <col min="18" max="18" width="8.421875" style="52" customWidth="1"/>
    <col min="19" max="19" width="5.140625" style="52" customWidth="1"/>
    <col min="20" max="20" width="7.421875" style="52" customWidth="1"/>
    <col min="21" max="21" width="3.28125" style="49" customWidth="1"/>
    <col min="22" max="66" width="0" style="49" hidden="1" customWidth="1"/>
    <col min="67" max="16384" width="9.140625" style="49" customWidth="1"/>
  </cols>
  <sheetData>
    <row r="1" spans="1:20" ht="15.75">
      <c r="A1" s="581" t="str">
        <f>DATA!AF51</f>
        <v>Statement Showing the Salary Particulars of : Smt. D.Latha, SGT , M.P.P.School.Enikepadu, Mandal : vijayavada</v>
      </c>
      <c r="B1" s="581"/>
      <c r="C1" s="581"/>
      <c r="D1" s="581"/>
      <c r="E1" s="581"/>
      <c r="F1" s="581"/>
      <c r="G1" s="581"/>
      <c r="H1" s="581"/>
      <c r="I1" s="581"/>
      <c r="J1" s="581"/>
      <c r="K1" s="581"/>
      <c r="L1" s="581"/>
      <c r="M1" s="581"/>
      <c r="N1" s="581"/>
      <c r="O1" s="581"/>
      <c r="P1" s="581"/>
      <c r="Q1" s="581"/>
      <c r="R1" s="581"/>
      <c r="S1" s="581"/>
      <c r="T1" s="581"/>
    </row>
    <row r="2" ht="2.25" customHeight="1"/>
    <row r="3" spans="1:20" s="449" customFormat="1" ht="27" customHeight="1">
      <c r="A3" s="447" t="s">
        <v>0</v>
      </c>
      <c r="B3" s="447" t="s">
        <v>1</v>
      </c>
      <c r="C3" s="447" t="s">
        <v>2</v>
      </c>
      <c r="D3" s="447" t="s">
        <v>3</v>
      </c>
      <c r="E3" s="447" t="s">
        <v>4</v>
      </c>
      <c r="F3" s="447" t="s">
        <v>6</v>
      </c>
      <c r="G3" s="447" t="s">
        <v>7</v>
      </c>
      <c r="H3" s="447" t="s">
        <v>193</v>
      </c>
      <c r="I3" s="447" t="s">
        <v>593</v>
      </c>
      <c r="J3" s="447" t="s">
        <v>200</v>
      </c>
      <c r="K3" s="447" t="s">
        <v>8</v>
      </c>
      <c r="L3" s="447" t="s">
        <v>196</v>
      </c>
      <c r="M3" s="447" t="str">
        <f>DATA!AB27</f>
        <v>ZP GPF</v>
      </c>
      <c r="N3" s="447" t="s">
        <v>11</v>
      </c>
      <c r="O3" s="447" t="s">
        <v>12</v>
      </c>
      <c r="P3" s="447" t="s">
        <v>13</v>
      </c>
      <c r="Q3" s="447" t="s">
        <v>581</v>
      </c>
      <c r="R3" s="447" t="s">
        <v>195</v>
      </c>
      <c r="S3" s="448" t="s">
        <v>194</v>
      </c>
      <c r="T3" s="447" t="s">
        <v>197</v>
      </c>
    </row>
    <row r="4" spans="1:21" ht="15.75" customHeight="1">
      <c r="A4" s="50">
        <v>1</v>
      </c>
      <c r="B4" s="51" t="str">
        <f>DATA!AO26</f>
        <v>March,11</v>
      </c>
      <c r="C4" s="207">
        <f>DATA!AP26</f>
        <v>15280</v>
      </c>
      <c r="D4" s="207">
        <f>ROUND(C4*24.824/100,0.1)</f>
        <v>3793</v>
      </c>
      <c r="E4" s="207">
        <f>IF(AND(DATA!P35=30,ROUND(C4*DATA!P35/100,0.1)&gt;12000),12000,IF(AND(DATA!P35=30,ROUND(C4*DATA!P35/100,0.1)&lt;=12000),ROUND(C4*DATA!P35/100,0.1),IF(AND(DATA!P35&lt;30,ROUND(C4*DATA!P35/100,0.1)&gt;8000),8000,IF(AND(DATA!P35&lt;30,ROUND(C4*DATA!P35/100,0.1)&lt;=8000),ROUND(C4*DATA!P35/100,0.1)))))</f>
        <v>3056</v>
      </c>
      <c r="F4" s="207">
        <f>DATA!AC33</f>
        <v>0</v>
      </c>
      <c r="G4" s="207">
        <f>DATA!L5</f>
        <v>0</v>
      </c>
      <c r="H4" s="207">
        <f>DATA!N5</f>
        <v>0</v>
      </c>
      <c r="I4" s="207">
        <f>DATA!P5</f>
        <v>0</v>
      </c>
      <c r="J4" s="207">
        <f>DATA!R35</f>
        <v>220</v>
      </c>
      <c r="K4" s="208">
        <f>IF(AND(DATA!AC52=2),0,IF(AND(ROUND(C4/10,0.1)&lt;900),(ROUND(C4/10,0.1)),IF(AND(ROUND(C4/10,0.1)&gt;900),900)))</f>
        <v>0</v>
      </c>
      <c r="L4" s="207">
        <f aca="true" t="shared" si="0" ref="L4:L23">SUM(C4:K4)</f>
        <v>22349</v>
      </c>
      <c r="M4" s="207">
        <f>IF(AND(DATA!AA27=3),ROUND('Annexure -I'!C4/10,0.1)+ROUND('Annexure -I'!D4/10,0.1),DATA!S35)</f>
        <v>1500</v>
      </c>
      <c r="N4" s="207">
        <f>DATA!T35</f>
        <v>450</v>
      </c>
      <c r="O4" s="207">
        <f>DATA!AE18</f>
        <v>30</v>
      </c>
      <c r="P4" s="209">
        <f>IF(AND(DATA!AC52=1),0,IF(AND(L4&gt;5000,L4&lt;=6000),60,IF(AND(L4&gt;6000,L4&lt;=10000),80,IF(AND(L4&gt;10000,L4&lt;=15000),100,IF(AND(L4&gt;15000,L4&lt;=20000),150,IF(AND(L4&gt;20000),200))))))</f>
        <v>200</v>
      </c>
      <c r="Q4" s="209">
        <f>DATA!P19</f>
        <v>0</v>
      </c>
      <c r="R4" s="207">
        <f>DATA!E17</f>
        <v>624</v>
      </c>
      <c r="S4" s="207">
        <f>IF(DATA!Z2=5,50,20)</f>
        <v>20</v>
      </c>
      <c r="T4" s="207">
        <f aca="true" t="shared" si="1" ref="T4:T23">SUM(M4:S4)</f>
        <v>2824</v>
      </c>
      <c r="U4" s="52"/>
    </row>
    <row r="5" spans="1:21" ht="15.75" customHeight="1">
      <c r="A5" s="50">
        <v>2</v>
      </c>
      <c r="B5" s="51" t="str">
        <f>DATA!AO27</f>
        <v>April,11</v>
      </c>
      <c r="C5" s="207">
        <f>DATA!AP27</f>
        <v>15280</v>
      </c>
      <c r="D5" s="207">
        <f>ROUND(C5*24.824/100,0.1)</f>
        <v>3793</v>
      </c>
      <c r="E5" s="207">
        <f>IF(AND(DATA!P36=30,ROUND(C5*DATA!P36/100,0.1)&gt;12000),12000,IF(AND(DATA!P36=30,ROUND(C5*DATA!P36/100,0.1)&lt;=12000),ROUND(C5*DATA!P36/100,0.1),IF(AND(DATA!P36&lt;30,ROUND(C5*DATA!P36/100,0.1)&gt;8000),8000,IF(AND(DATA!P36&lt;30,ROUND(C5*DATA!P36/100,0.1)&lt;=8000),ROUND(C5*DATA!P36/100,0.1)))))</f>
        <v>3056</v>
      </c>
      <c r="F5" s="207">
        <f aca="true" t="shared" si="2" ref="F5:F15">F4</f>
        <v>0</v>
      </c>
      <c r="G5" s="207">
        <f aca="true" t="shared" si="3" ref="G5:G15">G4</f>
        <v>0</v>
      </c>
      <c r="H5" s="207">
        <f aca="true" t="shared" si="4" ref="H5:H15">H4</f>
        <v>0</v>
      </c>
      <c r="I5" s="207">
        <f aca="true" t="shared" si="5" ref="I5:I15">I4</f>
        <v>0</v>
      </c>
      <c r="J5" s="207">
        <f>DATA!R36</f>
        <v>220</v>
      </c>
      <c r="K5" s="208">
        <f>IF(AND(DATA!AC52=2),0,IF(AND(ROUND(C6/10,0.1)&lt;690),(ROUND(C6*23/300,0.1)),IF(AND(ROUND(C6*23/300,0.1)&gt;690),690)))</f>
        <v>0</v>
      </c>
      <c r="L5" s="207">
        <f t="shared" si="0"/>
        <v>22349</v>
      </c>
      <c r="M5" s="207">
        <f>IF(AND(DATA!AA27=3),ROUND('Annexure -I'!C5/10,0.1)+ROUND('Annexure -I'!D5/10,0.1),DATA!$S$36)</f>
        <v>1500</v>
      </c>
      <c r="N5" s="207">
        <f>DATA!T36</f>
        <v>450</v>
      </c>
      <c r="O5" s="207">
        <f aca="true" t="shared" si="6" ref="O5:O15">O4</f>
        <v>30</v>
      </c>
      <c r="P5" s="209">
        <f>IF(AND(DATA!AC52=1),0,IF(AND(L5&gt;5000,L5&lt;=6000),60,IF(AND(L5&gt;6000,L5&lt;=10000),80,IF(AND(L5&gt;10000,L5&lt;=15000),100,IF(AND(L5&gt;15000,L5&lt;=20000),150,IF(AND(L5&gt;20000),200))))))</f>
        <v>200</v>
      </c>
      <c r="Q5" s="209">
        <f>DATA!P20</f>
        <v>0</v>
      </c>
      <c r="R5" s="207">
        <f aca="true" t="shared" si="7" ref="R5:R15">R4</f>
        <v>624</v>
      </c>
      <c r="S5" s="207">
        <v>0</v>
      </c>
      <c r="T5" s="207">
        <f t="shared" si="1"/>
        <v>2804</v>
      </c>
      <c r="U5" s="52"/>
    </row>
    <row r="6" spans="1:21" ht="15.75" customHeight="1">
      <c r="A6" s="50">
        <v>3</v>
      </c>
      <c r="B6" s="51" t="str">
        <f>DATA!AO28</f>
        <v>May,11</v>
      </c>
      <c r="C6" s="207">
        <f>DATA!AP28</f>
        <v>15280</v>
      </c>
      <c r="D6" s="207">
        <v>3793</v>
      </c>
      <c r="E6" s="207">
        <f>IF(AND(DATA!P37=30,ROUND(C6*DATA!P37/100,0.1)&gt;12000),12000,IF(AND(DATA!P37=30,ROUND(C6*DATA!P37/100,0.1)&lt;=12000),ROUND(C6*DATA!P37/100,0.1),IF(AND(DATA!P37&lt;30,ROUND(C6*DATA!P37/100,0.1)&gt;8000),8000,IF(AND(DATA!P37&lt;30,ROUND(C6*DATA!P37/100,0.1)&lt;=8000),ROUND(C6*DATA!P37/100,0.1)))))</f>
        <v>3056</v>
      </c>
      <c r="F6" s="207">
        <f t="shared" si="2"/>
        <v>0</v>
      </c>
      <c r="G6" s="207">
        <f t="shared" si="3"/>
        <v>0</v>
      </c>
      <c r="H6" s="207">
        <f t="shared" si="4"/>
        <v>0</v>
      </c>
      <c r="I6" s="207">
        <f t="shared" si="5"/>
        <v>0</v>
      </c>
      <c r="J6" s="207">
        <f>DATA!R37</f>
        <v>220</v>
      </c>
      <c r="K6" s="208">
        <v>0</v>
      </c>
      <c r="L6" s="207">
        <f t="shared" si="0"/>
        <v>22349</v>
      </c>
      <c r="M6" s="207">
        <f>IF(AND(DATA!AA27=3),ROUND('Annexure -I'!C6/10,0.1)+ROUND('Annexure -I'!D6/10,0.1),DATA!$S$37)</f>
        <v>1500</v>
      </c>
      <c r="N6" s="207">
        <f>DATA!T37</f>
        <v>450</v>
      </c>
      <c r="O6" s="207">
        <f t="shared" si="6"/>
        <v>30</v>
      </c>
      <c r="P6" s="209">
        <f>IF(AND(DATA!AC52=1),0,IF(AND(L6&gt;5000,L6&lt;=6000),60,IF(AND(L6&gt;6000,L6&lt;=10000),80,IF(AND(L6&gt;10000,L6&lt;=15000),100,IF(AND(L6&gt;15000,L6&lt;=20000),150,IF(AND(L6&gt;20000),200))))))</f>
        <v>200</v>
      </c>
      <c r="Q6" s="209">
        <f>DATA!P21</f>
        <v>0</v>
      </c>
      <c r="R6" s="207">
        <f t="shared" si="7"/>
        <v>624</v>
      </c>
      <c r="S6" s="207">
        <v>0</v>
      </c>
      <c r="T6" s="207">
        <f t="shared" si="1"/>
        <v>2804</v>
      </c>
      <c r="U6" s="52"/>
    </row>
    <row r="7" spans="1:21" ht="15.75" customHeight="1">
      <c r="A7" s="50">
        <v>4</v>
      </c>
      <c r="B7" s="51" t="str">
        <f>DATA!AO29</f>
        <v>June,11</v>
      </c>
      <c r="C7" s="207">
        <v>15700</v>
      </c>
      <c r="D7" s="207">
        <f aca="true" t="shared" si="8" ref="D6:D11">ROUND(C7*29.96/100,0.1)</f>
        <v>4704</v>
      </c>
      <c r="E7" s="207">
        <f>IF(AND(DATA!P38=30,ROUND(C7*DATA!P38/100,0.1)&gt;12000),12000,IF(AND(DATA!P38=30,ROUND(C7*DATA!P38/100,0.1)&lt;=12000),ROUND(C7*DATA!P38/100,0.1),IF(AND(DATA!P38&lt;30,ROUND(C7*DATA!P38/100,0.1)&gt;8000),8000,IF(AND(DATA!P38&lt;30,ROUND(C7*DATA!P38/100,0.1)&lt;=8000),ROUND(C7*DATA!P38/100,0.1)))))</f>
        <v>3140</v>
      </c>
      <c r="F7" s="207">
        <f t="shared" si="2"/>
        <v>0</v>
      </c>
      <c r="G7" s="207">
        <f t="shared" si="3"/>
        <v>0</v>
      </c>
      <c r="H7" s="207">
        <f t="shared" si="4"/>
        <v>0</v>
      </c>
      <c r="I7" s="207">
        <f t="shared" si="5"/>
        <v>0</v>
      </c>
      <c r="J7" s="207">
        <f>DATA!R38</f>
        <v>220</v>
      </c>
      <c r="K7" s="208">
        <f>IF(AND(DATA!AC52=2),0,IF(AND(ROUND(C6/10,0.1)&lt;510),(ROUND(C6*17/300,0.1)),IF(AND(ROUND(C6*17/300,0.1)&gt;510),510)))</f>
        <v>0</v>
      </c>
      <c r="L7" s="207">
        <f t="shared" si="0"/>
        <v>23764</v>
      </c>
      <c r="M7" s="207">
        <f>IF(AND(DATA!AA27=3),ROUND('Annexure -I'!C7/10,0.1)+ROUND('Annexure -I'!D7/10,0.1),DATA!$S$38)</f>
        <v>1500</v>
      </c>
      <c r="N7" s="207">
        <f>DATA!T38</f>
        <v>450</v>
      </c>
      <c r="O7" s="207">
        <f t="shared" si="6"/>
        <v>30</v>
      </c>
      <c r="P7" s="209">
        <f>IF(AND(DATA!AC52=1),0,IF(AND(L7&gt;5000,L7&lt;=6000),60,IF(AND(L7&gt;6000,L7&lt;=10000),80,IF(AND(L7&gt;10000,L7&lt;=15000),100,IF(AND(L7&gt;15000,L7&lt;=20000),150,IF(AND(L7&gt;20000),200))))))</f>
        <v>200</v>
      </c>
      <c r="Q7" s="209">
        <f>DATA!P22</f>
        <v>0</v>
      </c>
      <c r="R7" s="207">
        <f t="shared" si="7"/>
        <v>624</v>
      </c>
      <c r="S7" s="207">
        <v>0</v>
      </c>
      <c r="T7" s="207">
        <f t="shared" si="1"/>
        <v>2804</v>
      </c>
      <c r="U7" s="52"/>
    </row>
    <row r="8" spans="1:21" ht="15.75" customHeight="1">
      <c r="A8" s="50">
        <v>5</v>
      </c>
      <c r="B8" s="51" t="str">
        <f>DATA!AO30</f>
        <v>July,11</v>
      </c>
      <c r="C8" s="207">
        <f>DATA!AP30</f>
        <v>15700</v>
      </c>
      <c r="D8" s="207">
        <f t="shared" si="8"/>
        <v>4704</v>
      </c>
      <c r="E8" s="207">
        <f>IF(AND(DATA!P39=30,ROUND(C8*DATA!P39/100,0.1)&gt;12000),12000,IF(AND(DATA!P39=30,ROUND(C8*DATA!P39/100,0.1)&lt;=12000),ROUND(C8*DATA!P39/100,0.1),IF(AND(DATA!P39&lt;30,ROUND(C8*DATA!P39/100,0.1)&gt;8000),8000,IF(AND(DATA!P39&lt;30,ROUND(C8*DATA!P39/100,0.1)&lt;=8000),ROUND(C8*DATA!P39/100,0.1)))))</f>
        <v>3140</v>
      </c>
      <c r="F8" s="207">
        <f t="shared" si="2"/>
        <v>0</v>
      </c>
      <c r="G8" s="207">
        <f t="shared" si="3"/>
        <v>0</v>
      </c>
      <c r="H8" s="207">
        <f t="shared" si="4"/>
        <v>0</v>
      </c>
      <c r="I8" s="207">
        <f t="shared" si="5"/>
        <v>0</v>
      </c>
      <c r="J8" s="207">
        <f>DATA!R39</f>
        <v>220</v>
      </c>
      <c r="K8" s="208">
        <f>IF(AND(DATA!AC52=2),0,IF(AND(ROUND(C8/10,0.1)&lt;900),(ROUND(C8/10,0.1)),IF(AND(ROUND(C8/10,0.1)&gt;900),900)))</f>
        <v>0</v>
      </c>
      <c r="L8" s="207">
        <f t="shared" si="0"/>
        <v>23764</v>
      </c>
      <c r="M8" s="207">
        <f>IF(AND(DATA!AA27=3),ROUND('Annexure -I'!C8/10,0.1)+ROUND('Annexure -I'!D8/10,0.1),DATA!$S$39)</f>
        <v>1500</v>
      </c>
      <c r="N8" s="207">
        <f>DATA!T39</f>
        <v>450</v>
      </c>
      <c r="O8" s="207">
        <f t="shared" si="6"/>
        <v>30</v>
      </c>
      <c r="P8" s="209">
        <f>IF(AND(DATA!AC52=1),0,IF(AND(L8&gt;5000,L8&lt;=6000),60,IF(AND(L8&gt;6000,L8&lt;=10000),80,IF(AND(L8&gt;10000,L8&lt;=15000),100,IF(AND(L8&gt;15000,L8&lt;=20000),150,IF(AND(L8&gt;20000),200))))))</f>
        <v>200</v>
      </c>
      <c r="Q8" s="209">
        <f>DATA!P23</f>
        <v>0</v>
      </c>
      <c r="R8" s="207">
        <f t="shared" si="7"/>
        <v>624</v>
      </c>
      <c r="S8" s="207">
        <v>0</v>
      </c>
      <c r="T8" s="207">
        <f t="shared" si="1"/>
        <v>2804</v>
      </c>
      <c r="U8" s="52"/>
    </row>
    <row r="9" spans="1:21" ht="15.75" customHeight="1">
      <c r="A9" s="50">
        <v>6</v>
      </c>
      <c r="B9" s="51" t="str">
        <f>DATA!AO31</f>
        <v>Aug,11</v>
      </c>
      <c r="C9" s="207">
        <f>DATA!AP31</f>
        <v>15700</v>
      </c>
      <c r="D9" s="207">
        <f t="shared" si="8"/>
        <v>4704</v>
      </c>
      <c r="E9" s="207">
        <f>IF(AND(DATA!P40=30,ROUND(C9*DATA!P40/100,0.1)&gt;12000),12000,IF(AND(DATA!P40=30,ROUND(C9*DATA!P40/100,0.1)&lt;=12000),ROUND(C9*DATA!P40/100,0.1),IF(AND(DATA!P40&lt;30,ROUND(C9*DATA!P40/100,0.1)&gt;8000),8000,IF(AND(DATA!P40&lt;30,ROUND(C9*DATA!P40/100,0.1)&lt;=8000),ROUND(C9*DATA!P40/100,0.1)))))</f>
        <v>3140</v>
      </c>
      <c r="F9" s="207">
        <f t="shared" si="2"/>
        <v>0</v>
      </c>
      <c r="G9" s="207">
        <f t="shared" si="3"/>
        <v>0</v>
      </c>
      <c r="H9" s="207">
        <f t="shared" si="4"/>
        <v>0</v>
      </c>
      <c r="I9" s="207">
        <f t="shared" si="5"/>
        <v>0</v>
      </c>
      <c r="J9" s="207">
        <f>DATA!R40</f>
        <v>220</v>
      </c>
      <c r="K9" s="208">
        <f>IF(AND(DATA!AC52=2),0,IF(AND(ROUND(C9/10,0.1)&lt;900),(ROUND(C9/10,0.1)),IF(AND(ROUND(C9/10,0.1)&gt;900),900)))</f>
        <v>0</v>
      </c>
      <c r="L9" s="207">
        <f t="shared" si="0"/>
        <v>23764</v>
      </c>
      <c r="M9" s="207">
        <f>IF(AND(DATA!AA27=3),ROUND('Annexure -I'!C9/10,0.1)+ROUND('Annexure -I'!D9/10,0.1),DATA!$S$40)</f>
        <v>1500</v>
      </c>
      <c r="N9" s="207">
        <f>DATA!T40</f>
        <v>450</v>
      </c>
      <c r="O9" s="207">
        <f t="shared" si="6"/>
        <v>30</v>
      </c>
      <c r="P9" s="209">
        <f>IF(AND(DATA!AC52=1),0,IF(AND(L9&gt;5000,L9&lt;=6000),60,IF(AND(L9&gt;6000,L9&lt;=10000),80,IF(AND(L9&gt;10000,L9&lt;=15000),100,IF(AND(L9&gt;15000,L9&lt;=20000),150,IF(AND(L9&gt;20000),200))))))</f>
        <v>200</v>
      </c>
      <c r="Q9" s="209">
        <f>DATA!P24</f>
        <v>0</v>
      </c>
      <c r="R9" s="207">
        <f t="shared" si="7"/>
        <v>624</v>
      </c>
      <c r="S9" s="207">
        <v>0</v>
      </c>
      <c r="T9" s="207">
        <f t="shared" si="1"/>
        <v>2804</v>
      </c>
      <c r="U9" s="52"/>
    </row>
    <row r="10" spans="1:21" ht="15.75" customHeight="1">
      <c r="A10" s="50">
        <v>7</v>
      </c>
      <c r="B10" s="51" t="str">
        <f>DATA!AO32</f>
        <v>Sept,11</v>
      </c>
      <c r="C10" s="207">
        <f>DATA!AP32</f>
        <v>15700</v>
      </c>
      <c r="D10" s="207">
        <f t="shared" si="8"/>
        <v>4704</v>
      </c>
      <c r="E10" s="207">
        <f>IF(AND(DATA!P41=30,ROUND(C10*DATA!P41/100,0.1)&gt;12000),12000,IF(AND(DATA!P41=30,ROUND(C10*DATA!P41/100,0.1)&lt;=12000),ROUND(C10*DATA!P41/100,0.1),IF(AND(DATA!P41&lt;30,ROUND(C10*DATA!P41/100,0.1)&gt;8000),8000,IF(AND(DATA!P41&lt;30,ROUND(C10*DATA!P41/100,0.1)&lt;=8000),ROUND(C10*DATA!P41/100,0.1)))))</f>
        <v>3140</v>
      </c>
      <c r="F10" s="207">
        <f t="shared" si="2"/>
        <v>0</v>
      </c>
      <c r="G10" s="207">
        <f t="shared" si="3"/>
        <v>0</v>
      </c>
      <c r="H10" s="207">
        <f t="shared" si="4"/>
        <v>0</v>
      </c>
      <c r="I10" s="207">
        <f t="shared" si="5"/>
        <v>0</v>
      </c>
      <c r="J10" s="207">
        <f>DATA!R41</f>
        <v>220</v>
      </c>
      <c r="K10" s="208">
        <f>IF(AND(DATA!AC52=2),0,IF(AND(ROUND(C10/10,0.1)&lt;900),(ROUND(C10/10,0.1)),IF(AND(ROUND(C10/10,0.1)&gt;900),900)))</f>
        <v>0</v>
      </c>
      <c r="L10" s="207">
        <f t="shared" si="0"/>
        <v>23764</v>
      </c>
      <c r="M10" s="207">
        <f>IF(AND(DATA!AA27=3),ROUND('Annexure -I'!C10/10,0.1)+ROUND('Annexure -I'!D10/10,0.1),DATA!$S$41)</f>
        <v>1500</v>
      </c>
      <c r="N10" s="207">
        <f>DATA!T41</f>
        <v>450</v>
      </c>
      <c r="O10" s="207">
        <f t="shared" si="6"/>
        <v>30</v>
      </c>
      <c r="P10" s="209">
        <f>IF(AND(DATA!AC52=1),0,IF(AND(L10&gt;5000,L10&lt;=6000),60,IF(AND(L10&gt;6000,L10&lt;=10000),80,IF(AND(L10&gt;10000,L10&lt;=15000),100,IF(AND(L10&gt;15000,L10&lt;=20000),150,IF(AND(L10&gt;20000),200))))))</f>
        <v>200</v>
      </c>
      <c r="Q10" s="209">
        <f>DATA!P25</f>
        <v>0</v>
      </c>
      <c r="R10" s="207">
        <f t="shared" si="7"/>
        <v>624</v>
      </c>
      <c r="S10" s="207">
        <v>0</v>
      </c>
      <c r="T10" s="207">
        <f t="shared" si="1"/>
        <v>2804</v>
      </c>
      <c r="U10" s="52"/>
    </row>
    <row r="11" spans="1:21" ht="15.75" customHeight="1">
      <c r="A11" s="50">
        <v>8</v>
      </c>
      <c r="B11" s="51" t="str">
        <f>DATA!AO33</f>
        <v>Oct,11</v>
      </c>
      <c r="C11" s="207">
        <f>DATA!AP33</f>
        <v>15700</v>
      </c>
      <c r="D11" s="207">
        <f t="shared" si="8"/>
        <v>4704</v>
      </c>
      <c r="E11" s="207">
        <f>IF(AND(DATA!P42=30,ROUND(C11*DATA!P42/100,0.1)&gt;12000),12000,IF(AND(DATA!P42=30,ROUND(C11*DATA!P42/100,0.1)&lt;=12000),ROUND(C11*DATA!P42/100,0.1),IF(AND(DATA!P42&lt;30,ROUND(C11*DATA!P42/100,0.1)&gt;8000),8000,IF(AND(DATA!P42&lt;30,ROUND(C11*DATA!P42/100,0.1)&lt;=8000),ROUND(C11*DATA!P42/100,0.1)))))</f>
        <v>3140</v>
      </c>
      <c r="F11" s="207">
        <f t="shared" si="2"/>
        <v>0</v>
      </c>
      <c r="G11" s="207">
        <f t="shared" si="3"/>
        <v>0</v>
      </c>
      <c r="H11" s="207">
        <f t="shared" si="4"/>
        <v>0</v>
      </c>
      <c r="I11" s="207">
        <f t="shared" si="5"/>
        <v>0</v>
      </c>
      <c r="J11" s="207">
        <f>DATA!R42</f>
        <v>220</v>
      </c>
      <c r="K11" s="208">
        <f>IF(AND(DATA!AC52=2),0,IF(AND(ROUND(C11/10,0.1)&lt;900),(ROUND(C11/10,0.1)),IF(AND(ROUND(C11/10,0.1)&gt;900),900)))</f>
        <v>0</v>
      </c>
      <c r="L11" s="207">
        <f t="shared" si="0"/>
        <v>23764</v>
      </c>
      <c r="M11" s="207">
        <f>IF(AND(DATA!AA27=3),ROUND('Annexure -I'!C11/10,0.1)+ROUND('Annexure -I'!D11/10,0.1),DATA!$S$42)</f>
        <v>1500</v>
      </c>
      <c r="N11" s="207">
        <f>DATA!T42</f>
        <v>600</v>
      </c>
      <c r="O11" s="207">
        <f t="shared" si="6"/>
        <v>30</v>
      </c>
      <c r="P11" s="209">
        <f>IF(AND(DATA!AC52=1),0,IF(AND(L11&gt;5000,L11&lt;=6000),60,IF(AND(L11&gt;6000,L11&lt;=10000),80,IF(AND(L11&gt;10000,L11&lt;=15000),100,IF(AND(L11&gt;15000,L11&lt;=20000),150,IF(AND(L11&gt;20000),200))))))</f>
        <v>200</v>
      </c>
      <c r="Q11" s="209">
        <f>DATA!P26</f>
        <v>0</v>
      </c>
      <c r="R11" s="207">
        <f t="shared" si="7"/>
        <v>624</v>
      </c>
      <c r="S11" s="207">
        <v>0</v>
      </c>
      <c r="T11" s="207">
        <f t="shared" si="1"/>
        <v>2954</v>
      </c>
      <c r="U11" s="52"/>
    </row>
    <row r="12" spans="1:21" ht="15.75" customHeight="1">
      <c r="A12" s="50">
        <v>9</v>
      </c>
      <c r="B12" s="51" t="str">
        <f>DATA!AO34</f>
        <v>Nov,11</v>
      </c>
      <c r="C12" s="207">
        <f>DATA!AP34</f>
        <v>15700</v>
      </c>
      <c r="D12" s="207">
        <f>IF(DATA!C35=2,ROUND(C12*29.96/100,0.1),ROUND(C12*35.952/100,0.1))</f>
        <v>4704</v>
      </c>
      <c r="E12" s="207">
        <f>IF(AND(DATA!P43=30,ROUND(C12*DATA!P43/100,0.1)&gt;12000),12000,IF(AND(DATA!P43=30,ROUND(C12*DATA!P43/100,0.1)&lt;=12000),ROUND(C12*DATA!P43/100,0.1),IF(AND(DATA!P43&lt;30,ROUND(C12*DATA!P43/100,0.1)&gt;8000),8000,IF(AND(DATA!P43&lt;30,ROUND(C12*DATA!P43/100,0.1)&lt;=8000),ROUND(C12*DATA!P43/100,0.1)))))</f>
        <v>3140</v>
      </c>
      <c r="F12" s="207">
        <f t="shared" si="2"/>
        <v>0</v>
      </c>
      <c r="G12" s="207">
        <f t="shared" si="3"/>
        <v>0</v>
      </c>
      <c r="H12" s="207">
        <f t="shared" si="4"/>
        <v>0</v>
      </c>
      <c r="I12" s="207">
        <f t="shared" si="5"/>
        <v>0</v>
      </c>
      <c r="J12" s="207">
        <f>DATA!R43</f>
        <v>220</v>
      </c>
      <c r="K12" s="208">
        <f>IF(AND(DATA!AC52=2),0,IF(AND(ROUND(C12/10,0.1)&lt;900),(ROUND(C12/10,0.1)),IF(AND(ROUND(C12/10,0.1)&gt;900),900)))</f>
        <v>0</v>
      </c>
      <c r="L12" s="207">
        <f t="shared" si="0"/>
        <v>23764</v>
      </c>
      <c r="M12" s="207">
        <f>IF(AND(DATA!AA27=3),ROUND('Annexure -I'!C12/10,0.1)+ROUND('Annexure -I'!D12/10,0.1),DATA!$S$43)</f>
        <v>1500</v>
      </c>
      <c r="N12" s="207">
        <f>DATA!T43</f>
        <v>600</v>
      </c>
      <c r="O12" s="207">
        <f t="shared" si="6"/>
        <v>30</v>
      </c>
      <c r="P12" s="209">
        <f>IF(AND(DATA!AC52=1),0,IF(AND(L12&gt;5000,L12&lt;=6000),60,IF(AND(L12&gt;6000,L12&lt;=10000),80,IF(AND(L12&gt;10000,L12&lt;=15000),100,IF(AND(L12&gt;15000,L12&lt;=20000),150,IF(AND(L12&gt;20000),200))))))</f>
        <v>200</v>
      </c>
      <c r="Q12" s="209">
        <f>DATA!P27</f>
        <v>0</v>
      </c>
      <c r="R12" s="207">
        <f t="shared" si="7"/>
        <v>624</v>
      </c>
      <c r="S12" s="207">
        <v>0</v>
      </c>
      <c r="T12" s="207">
        <f t="shared" si="1"/>
        <v>2954</v>
      </c>
      <c r="U12" s="52"/>
    </row>
    <row r="13" spans="1:21" ht="15.75" customHeight="1">
      <c r="A13" s="50">
        <v>10</v>
      </c>
      <c r="B13" s="51" t="str">
        <f>DATA!AO35</f>
        <v>Dec,11</v>
      </c>
      <c r="C13" s="207">
        <f>DATA!AP35</f>
        <v>15700</v>
      </c>
      <c r="D13" s="207">
        <f>IF(DATA!C35=2,ROUND(C13*29.96/100,0.1),ROUND(C13*35.952/100,0.1))</f>
        <v>4704</v>
      </c>
      <c r="E13" s="207">
        <f>IF(AND(DATA!P44=30,ROUND(C13*DATA!P44/100,0.1)&gt;12000),12000,IF(AND(DATA!P44=30,ROUND(C13*DATA!P44/100,0.1)&lt;=12000),ROUND(C13*DATA!P44/100,0.1),IF(AND(DATA!P44&lt;30,ROUND(C13*DATA!P44/100,0.1)&gt;8000),8000,IF(AND(DATA!P44&lt;30,ROUND(C13*DATA!P44/100,0.1)&lt;=8000),ROUND(C13*DATA!P44/100,0.1)))))</f>
        <v>3140</v>
      </c>
      <c r="F13" s="207">
        <f t="shared" si="2"/>
        <v>0</v>
      </c>
      <c r="G13" s="207">
        <f t="shared" si="3"/>
        <v>0</v>
      </c>
      <c r="H13" s="207">
        <f t="shared" si="4"/>
        <v>0</v>
      </c>
      <c r="I13" s="207">
        <f t="shared" si="5"/>
        <v>0</v>
      </c>
      <c r="J13" s="207">
        <f>DATA!R44</f>
        <v>220</v>
      </c>
      <c r="K13" s="208">
        <f>IF(AND(DATA!AC52=2),0,IF(AND(ROUND(C13/10,0.1)&lt;900),(ROUND(C13/10,0.1)),IF(AND(ROUND(C13/10,0.1)&gt;900),900)))</f>
        <v>0</v>
      </c>
      <c r="L13" s="207">
        <f t="shared" si="0"/>
        <v>23764</v>
      </c>
      <c r="M13" s="207">
        <f>IF(AND(DATA!AA27=3),ROUND('Annexure -I'!C13/10,0.1)+ROUND('Annexure -I'!D13/10,0.1),DATA!$S$44)</f>
        <v>1500</v>
      </c>
      <c r="N13" s="207">
        <f>DATA!T44</f>
        <v>600</v>
      </c>
      <c r="O13" s="207">
        <f t="shared" si="6"/>
        <v>30</v>
      </c>
      <c r="P13" s="209">
        <f>IF(AND(DATA!AC52=1),0,IF(AND(L13&gt;5000,L13&lt;=6000),60,IF(AND(L13&gt;6000,L13&lt;=10000),80,IF(AND(L13&gt;10000,L13&lt;=15000),100,IF(AND(L13&gt;15000,L13&lt;=20000),150,IF(AND(L13&gt;20000),200))))))</f>
        <v>200</v>
      </c>
      <c r="Q13" s="209">
        <f>DATA!P28</f>
        <v>0</v>
      </c>
      <c r="R13" s="207">
        <f t="shared" si="7"/>
        <v>624</v>
      </c>
      <c r="S13" s="207">
        <v>0</v>
      </c>
      <c r="T13" s="207">
        <f t="shared" si="1"/>
        <v>2954</v>
      </c>
      <c r="U13" s="52"/>
    </row>
    <row r="14" spans="1:21" ht="15.75" customHeight="1">
      <c r="A14" s="50">
        <v>11</v>
      </c>
      <c r="B14" s="51" t="str">
        <f>DATA!AO36</f>
        <v>Jan,12</v>
      </c>
      <c r="C14" s="207">
        <f>DATA!AP36</f>
        <v>15700</v>
      </c>
      <c r="D14" s="207">
        <f>IF(DATA!C35=2,ROUND(C14*29.96/100,0.1),ROUND(C14*35.952/100,0.1))</f>
        <v>4704</v>
      </c>
      <c r="E14" s="207">
        <f>IF(AND(DATA!P45=30,ROUND(C14*DATA!P45/100,0.1)&gt;12000),12000,IF(AND(DATA!P45=30,ROUND(C14*DATA!P45/100,0.1)&lt;=12000),ROUND(C14*DATA!P45/100,0.1),IF(AND(DATA!P45&lt;30,ROUND(C14*DATA!P45/100,0.1)&gt;8000),8000,IF(AND(DATA!P45&lt;30,ROUND(C14*DATA!P45/100,0.1)&lt;=8000),ROUND(C14*DATA!P45/100,0.1)))))</f>
        <v>3140</v>
      </c>
      <c r="F14" s="207">
        <f t="shared" si="2"/>
        <v>0</v>
      </c>
      <c r="G14" s="207">
        <f t="shared" si="3"/>
        <v>0</v>
      </c>
      <c r="H14" s="207">
        <f t="shared" si="4"/>
        <v>0</v>
      </c>
      <c r="I14" s="207">
        <f t="shared" si="5"/>
        <v>0</v>
      </c>
      <c r="J14" s="207">
        <f>DATA!R45</f>
        <v>220</v>
      </c>
      <c r="K14" s="208">
        <f>IF(AND(DATA!AC52=2),0,IF(AND(ROUND(C14/10,0.1)&lt;900),(ROUND(C14/10,0.1)),IF(AND(ROUND(C14/10,0.1)&gt;900),900)))</f>
        <v>0</v>
      </c>
      <c r="L14" s="207">
        <f t="shared" si="0"/>
        <v>23764</v>
      </c>
      <c r="M14" s="207">
        <f>IF(AND(DATA!AA27=3),ROUND('Annexure -I'!C14/10,0.1)+ROUND('Annexure -I'!D14/10,0.1),DATA!$S$45)</f>
        <v>1500</v>
      </c>
      <c r="N14" s="207">
        <f>DATA!T45</f>
        <v>600</v>
      </c>
      <c r="O14" s="207">
        <v>60</v>
      </c>
      <c r="P14" s="209">
        <f>IF(AND(DATA!AC52=1),0,IF(AND(L14&gt;5000,L14&lt;=6000),60,IF(AND(L14&gt;6000,L14&lt;=10000),80,IF(AND(L14&gt;10000,L14&lt;=15000),100,IF(AND(L14&gt;15000,L14&lt;=20000),150,IF(AND(L14&gt;20000),200))))))</f>
        <v>200</v>
      </c>
      <c r="Q14" s="209">
        <f>DATA!P29</f>
        <v>0</v>
      </c>
      <c r="R14" s="207">
        <f t="shared" si="7"/>
        <v>624</v>
      </c>
      <c r="S14" s="207">
        <f>IF(DATA!Z2=5,50,20)</f>
        <v>20</v>
      </c>
      <c r="T14" s="207">
        <f t="shared" si="1"/>
        <v>3004</v>
      </c>
      <c r="U14" s="52"/>
    </row>
    <row r="15" spans="1:21" ht="15.75" customHeight="1">
      <c r="A15" s="50">
        <v>12</v>
      </c>
      <c r="B15" s="51" t="str">
        <f>DATA!AO37</f>
        <v>Feb,12</v>
      </c>
      <c r="C15" s="207">
        <f>DATA!AP37</f>
        <v>15700</v>
      </c>
      <c r="D15" s="207">
        <f>IF(DATA!C35=2,ROUND(C15*29.96/100,0.1),ROUND(C15*35.952/100,0.1))</f>
        <v>4704</v>
      </c>
      <c r="E15" s="207">
        <f>IF(AND(DATA!P46=30,ROUND(C15*DATA!P46/100,0.1)&gt;12000),12000,IF(AND(DATA!P46=30,ROUND(C15*DATA!P46/100,0.1)&lt;=12000),ROUND(C15*DATA!P46/100,0.1),IF(AND(DATA!P46&lt;30,ROUND(C15*DATA!P46/100,0.1)&gt;8000),8000,IF(AND(DATA!P46&lt;30,ROUND(C15*DATA!P46/100,0.1)&lt;=8000),ROUND(C15*DATA!P46/100,0.1)))))</f>
        <v>3140</v>
      </c>
      <c r="F15" s="207">
        <f t="shared" si="2"/>
        <v>0</v>
      </c>
      <c r="G15" s="207">
        <f t="shared" si="3"/>
        <v>0</v>
      </c>
      <c r="H15" s="207">
        <f t="shared" si="4"/>
        <v>0</v>
      </c>
      <c r="I15" s="207">
        <f t="shared" si="5"/>
        <v>0</v>
      </c>
      <c r="J15" s="207">
        <f>DATA!R46</f>
        <v>220</v>
      </c>
      <c r="K15" s="208">
        <f>IF(AND(DATA!AC52=2),0,IF(AND(ROUND(C15/10,0.1)&lt;900),(ROUND(C15/10,0.1)),IF(AND(ROUND(C15/10,0.1)&gt;900),900)))</f>
        <v>0</v>
      </c>
      <c r="L15" s="207">
        <f t="shared" si="0"/>
        <v>23764</v>
      </c>
      <c r="M15" s="207">
        <f>IF(AND(DATA!AA27=3),ROUND('Annexure -I'!C15/10,0.1)+ROUND('Annexure -I'!D15/10,0.1),DATA!$S$46)</f>
        <v>1500</v>
      </c>
      <c r="N15" s="207">
        <f>DATA!T46</f>
        <v>600</v>
      </c>
      <c r="O15" s="207">
        <f t="shared" si="6"/>
        <v>60</v>
      </c>
      <c r="P15" s="209">
        <f>IF(AND(DATA!AC52=1),0,IF(AND(L15&gt;5000,L15&lt;=6000),60,IF(AND(L15&gt;6000,L15&lt;=10000),80,IF(AND(L15&gt;10000,L15&lt;=15000),100,IF(AND(L15&gt;15000,L15&lt;=20000),150,IF(AND(L15&gt;20000),200))))))</f>
        <v>200</v>
      </c>
      <c r="Q15" s="209">
        <f>DATA!P30</f>
        <v>0</v>
      </c>
      <c r="R15" s="207">
        <f t="shared" si="7"/>
        <v>624</v>
      </c>
      <c r="S15" s="207">
        <v>0</v>
      </c>
      <c r="T15" s="207">
        <f t="shared" si="1"/>
        <v>2984</v>
      </c>
      <c r="U15" s="52"/>
    </row>
    <row r="16" spans="1:21" ht="25.5" customHeight="1">
      <c r="A16" s="50">
        <v>13</v>
      </c>
      <c r="B16" s="453" t="str">
        <f>CONCATENATE("Surrender Leave                                 ",DATA!BK55)</f>
        <v>Surrender Leave                                 Not Availed</v>
      </c>
      <c r="C16" s="207">
        <v>0</v>
      </c>
      <c r="D16" s="207">
        <v>0</v>
      </c>
      <c r="E16" s="207">
        <v>0</v>
      </c>
      <c r="F16" s="207">
        <v>0</v>
      </c>
      <c r="G16" s="207">
        <v>0</v>
      </c>
      <c r="H16" s="207">
        <v>0</v>
      </c>
      <c r="I16" s="207">
        <f>DATA!BV83</f>
        <v>0</v>
      </c>
      <c r="J16" s="207">
        <v>0</v>
      </c>
      <c r="K16" s="207">
        <v>0</v>
      </c>
      <c r="L16" s="207">
        <f t="shared" si="0"/>
        <v>0</v>
      </c>
      <c r="M16" s="207">
        <v>0</v>
      </c>
      <c r="N16" s="207">
        <v>0</v>
      </c>
      <c r="O16" s="207">
        <v>0</v>
      </c>
      <c r="P16" s="207">
        <v>0</v>
      </c>
      <c r="Q16" s="207">
        <v>0</v>
      </c>
      <c r="R16" s="207">
        <v>0</v>
      </c>
      <c r="S16" s="207">
        <v>0</v>
      </c>
      <c r="T16" s="207">
        <f t="shared" si="1"/>
        <v>0</v>
      </c>
      <c r="U16" s="52"/>
    </row>
    <row r="17" spans="1:21" ht="24.75" customHeight="1">
      <c r="A17" s="50">
        <v>14</v>
      </c>
      <c r="B17" s="442" t="s">
        <v>586</v>
      </c>
      <c r="C17" s="212">
        <v>0</v>
      </c>
      <c r="D17" s="211">
        <v>3881</v>
      </c>
      <c r="E17" s="207">
        <v>0</v>
      </c>
      <c r="F17" s="207">
        <v>0</v>
      </c>
      <c r="G17" s="207">
        <v>0</v>
      </c>
      <c r="H17" s="207">
        <v>0</v>
      </c>
      <c r="I17" s="207">
        <v>0</v>
      </c>
      <c r="J17" s="207">
        <v>0</v>
      </c>
      <c r="K17" s="207">
        <v>0</v>
      </c>
      <c r="L17" s="207">
        <f t="shared" si="0"/>
        <v>3881</v>
      </c>
      <c r="M17" s="211">
        <v>3096</v>
      </c>
      <c r="N17" s="207">
        <v>0</v>
      </c>
      <c r="O17" s="207">
        <v>0</v>
      </c>
      <c r="P17" s="207">
        <v>0</v>
      </c>
      <c r="Q17" s="207">
        <v>0</v>
      </c>
      <c r="R17" s="207">
        <v>0</v>
      </c>
      <c r="S17" s="207">
        <v>0</v>
      </c>
      <c r="T17" s="207">
        <f t="shared" si="1"/>
        <v>3096</v>
      </c>
      <c r="U17" s="52"/>
    </row>
    <row r="18" spans="1:21" ht="27" customHeight="1">
      <c r="A18" s="50">
        <v>15</v>
      </c>
      <c r="B18" s="454" t="s">
        <v>590</v>
      </c>
      <c r="C18" s="212">
        <v>0</v>
      </c>
      <c r="D18" s="211">
        <v>6580</v>
      </c>
      <c r="E18" s="207">
        <v>0</v>
      </c>
      <c r="F18" s="207">
        <v>0</v>
      </c>
      <c r="G18" s="207">
        <v>0</v>
      </c>
      <c r="H18" s="207">
        <v>0</v>
      </c>
      <c r="I18" s="207">
        <v>0</v>
      </c>
      <c r="J18" s="207">
        <v>0</v>
      </c>
      <c r="K18" s="207">
        <v>0</v>
      </c>
      <c r="L18" s="207">
        <f t="shared" si="0"/>
        <v>6580</v>
      </c>
      <c r="M18" s="211">
        <v>2820</v>
      </c>
      <c r="N18" s="207">
        <v>0</v>
      </c>
      <c r="O18" s="207">
        <v>0</v>
      </c>
      <c r="P18" s="207">
        <v>0</v>
      </c>
      <c r="Q18" s="207">
        <v>0</v>
      </c>
      <c r="R18" s="207">
        <v>0</v>
      </c>
      <c r="S18" s="207">
        <v>0</v>
      </c>
      <c r="T18" s="207">
        <f t="shared" si="1"/>
        <v>2820</v>
      </c>
      <c r="U18" s="52"/>
    </row>
    <row r="19" spans="1:21" ht="21" customHeight="1">
      <c r="A19" s="50">
        <v>16</v>
      </c>
      <c r="B19" s="444" t="s">
        <v>591</v>
      </c>
      <c r="C19" s="212">
        <f>DATA!D10</f>
        <v>6720</v>
      </c>
      <c r="D19" s="212">
        <f>DATA!D11</f>
        <v>1594</v>
      </c>
      <c r="E19" s="212">
        <f>DATA!D12</f>
        <v>1344</v>
      </c>
      <c r="F19" s="207">
        <v>0</v>
      </c>
      <c r="G19" s="207">
        <v>0</v>
      </c>
      <c r="H19" s="207">
        <v>0</v>
      </c>
      <c r="I19" s="207">
        <f>DATA!D13</f>
        <v>0</v>
      </c>
      <c r="J19" s="207">
        <v>0</v>
      </c>
      <c r="K19" s="207">
        <v>0</v>
      </c>
      <c r="L19" s="207">
        <f t="shared" si="0"/>
        <v>9658</v>
      </c>
      <c r="M19" s="211">
        <f>DATA!I10</f>
        <v>9608</v>
      </c>
      <c r="N19" s="207">
        <v>0</v>
      </c>
      <c r="O19" s="207">
        <v>0</v>
      </c>
      <c r="P19" s="207">
        <v>50</v>
      </c>
      <c r="Q19" s="207">
        <v>0</v>
      </c>
      <c r="R19" s="207">
        <v>0</v>
      </c>
      <c r="S19" s="207">
        <v>0</v>
      </c>
      <c r="T19" s="207">
        <f t="shared" si="1"/>
        <v>9658</v>
      </c>
      <c r="U19" s="52"/>
    </row>
    <row r="20" spans="1:21" ht="18.75" customHeight="1">
      <c r="A20" s="50">
        <v>17</v>
      </c>
      <c r="B20" s="445" t="str">
        <f>DATA!C117</f>
        <v>No Promotion </v>
      </c>
      <c r="C20" s="212">
        <f>DATA!F120</f>
        <v>0</v>
      </c>
      <c r="D20" s="212">
        <f>DATA!G120</f>
        <v>0</v>
      </c>
      <c r="E20" s="212">
        <f>DATA!H120</f>
        <v>0</v>
      </c>
      <c r="F20" s="207">
        <v>0</v>
      </c>
      <c r="G20" s="207">
        <v>0</v>
      </c>
      <c r="H20" s="207">
        <v>0</v>
      </c>
      <c r="I20" s="207">
        <v>0</v>
      </c>
      <c r="J20" s="207">
        <v>0</v>
      </c>
      <c r="K20" s="207">
        <v>0</v>
      </c>
      <c r="L20" s="207">
        <f t="shared" si="0"/>
        <v>0</v>
      </c>
      <c r="M20" s="211">
        <v>0</v>
      </c>
      <c r="N20" s="207">
        <v>0</v>
      </c>
      <c r="O20" s="207">
        <v>0</v>
      </c>
      <c r="P20" s="207">
        <v>0</v>
      </c>
      <c r="Q20" s="207">
        <v>0</v>
      </c>
      <c r="R20" s="207">
        <v>0</v>
      </c>
      <c r="S20" s="207">
        <v>0</v>
      </c>
      <c r="T20" s="207">
        <f t="shared" si="1"/>
        <v>0</v>
      </c>
      <c r="U20" s="52"/>
    </row>
    <row r="21" spans="1:21" ht="25.5" customHeight="1">
      <c r="A21" s="50">
        <v>18</v>
      </c>
      <c r="B21" s="443" t="s">
        <v>208</v>
      </c>
      <c r="C21" s="212">
        <f>DATA!P9</f>
        <v>0</v>
      </c>
      <c r="D21" s="211">
        <v>0</v>
      </c>
      <c r="E21" s="207">
        <v>0</v>
      </c>
      <c r="F21" s="207">
        <v>0</v>
      </c>
      <c r="G21" s="207">
        <v>0</v>
      </c>
      <c r="H21" s="207">
        <v>0</v>
      </c>
      <c r="I21" s="207">
        <v>0</v>
      </c>
      <c r="J21" s="207">
        <v>0</v>
      </c>
      <c r="K21" s="207">
        <v>0</v>
      </c>
      <c r="L21" s="207">
        <f t="shared" si="0"/>
        <v>0</v>
      </c>
      <c r="M21" s="211">
        <v>0</v>
      </c>
      <c r="N21" s="207">
        <v>0</v>
      </c>
      <c r="O21" s="207">
        <v>0</v>
      </c>
      <c r="P21" s="207">
        <v>0</v>
      </c>
      <c r="Q21" s="207">
        <v>0</v>
      </c>
      <c r="R21" s="207">
        <v>0</v>
      </c>
      <c r="S21" s="207">
        <v>0</v>
      </c>
      <c r="T21" s="207">
        <f t="shared" si="1"/>
        <v>0</v>
      </c>
      <c r="U21" s="52"/>
    </row>
    <row r="22" spans="1:21" ht="21" customHeight="1">
      <c r="A22" s="50">
        <v>19</v>
      </c>
      <c r="B22" s="446" t="s">
        <v>209</v>
      </c>
      <c r="C22" s="210">
        <f>DATA!M10</f>
        <v>0</v>
      </c>
      <c r="D22" s="211">
        <f>DATA!M11</f>
        <v>0</v>
      </c>
      <c r="E22" s="207">
        <f>DATA!M12</f>
        <v>0</v>
      </c>
      <c r="F22" s="207">
        <v>0</v>
      </c>
      <c r="G22" s="207">
        <v>0</v>
      </c>
      <c r="H22" s="207">
        <v>0</v>
      </c>
      <c r="I22" s="207">
        <f>DATA!M13</f>
        <v>0</v>
      </c>
      <c r="J22" s="207">
        <v>0</v>
      </c>
      <c r="K22" s="207">
        <v>0</v>
      </c>
      <c r="L22" s="207">
        <f t="shared" si="0"/>
        <v>0</v>
      </c>
      <c r="M22" s="211">
        <f>DATA!P10</f>
        <v>0</v>
      </c>
      <c r="N22" s="207">
        <v>0</v>
      </c>
      <c r="O22" s="207">
        <v>0</v>
      </c>
      <c r="P22" s="207">
        <v>0</v>
      </c>
      <c r="Q22" s="207">
        <v>0</v>
      </c>
      <c r="R22" s="207">
        <v>0</v>
      </c>
      <c r="S22" s="207">
        <v>0</v>
      </c>
      <c r="T22" s="207">
        <f t="shared" si="1"/>
        <v>0</v>
      </c>
      <c r="U22" s="52"/>
    </row>
    <row r="23" spans="1:21" ht="21" customHeight="1">
      <c r="A23" s="50">
        <v>20</v>
      </c>
      <c r="B23" s="446" t="s">
        <v>209</v>
      </c>
      <c r="C23" s="210">
        <f>DATA!N14+DATA!P14</f>
        <v>0</v>
      </c>
      <c r="D23" s="211">
        <v>0</v>
      </c>
      <c r="E23" s="207">
        <v>0</v>
      </c>
      <c r="F23" s="207">
        <v>0</v>
      </c>
      <c r="G23" s="207">
        <v>0</v>
      </c>
      <c r="H23" s="207">
        <v>0</v>
      </c>
      <c r="I23" s="207">
        <v>0</v>
      </c>
      <c r="J23" s="207">
        <v>0</v>
      </c>
      <c r="K23" s="207">
        <v>0</v>
      </c>
      <c r="L23" s="207">
        <f t="shared" si="0"/>
        <v>0</v>
      </c>
      <c r="M23" s="211">
        <f>DATA!N14</f>
        <v>0</v>
      </c>
      <c r="N23" s="207">
        <v>0</v>
      </c>
      <c r="O23" s="207">
        <v>0</v>
      </c>
      <c r="P23" s="207">
        <v>0</v>
      </c>
      <c r="Q23" s="207">
        <v>0</v>
      </c>
      <c r="R23" s="207">
        <v>0</v>
      </c>
      <c r="S23" s="207">
        <v>0</v>
      </c>
      <c r="T23" s="207">
        <f t="shared" si="1"/>
        <v>0</v>
      </c>
      <c r="U23" s="52"/>
    </row>
    <row r="24" spans="1:21" ht="19.5" customHeight="1">
      <c r="A24" s="579" t="s">
        <v>9</v>
      </c>
      <c r="B24" s="580"/>
      <c r="C24" s="50">
        <f aca="true" t="shared" si="9" ref="C24:T24">SUM(C4:C23)</f>
        <v>193860</v>
      </c>
      <c r="D24" s="50">
        <f t="shared" si="9"/>
        <v>65770</v>
      </c>
      <c r="E24" s="50">
        <f t="shared" si="9"/>
        <v>38772</v>
      </c>
      <c r="F24" s="50">
        <f t="shared" si="9"/>
        <v>0</v>
      </c>
      <c r="G24" s="50">
        <f t="shared" si="9"/>
        <v>0</v>
      </c>
      <c r="H24" s="50">
        <f t="shared" si="9"/>
        <v>0</v>
      </c>
      <c r="I24" s="50">
        <f t="shared" si="9"/>
        <v>0</v>
      </c>
      <c r="J24" s="50">
        <f t="shared" si="9"/>
        <v>2640</v>
      </c>
      <c r="K24" s="440">
        <f t="shared" si="9"/>
        <v>0</v>
      </c>
      <c r="L24" s="440">
        <f t="shared" si="9"/>
        <v>301042</v>
      </c>
      <c r="M24" s="440">
        <f t="shared" si="9"/>
        <v>33524</v>
      </c>
      <c r="N24" s="440">
        <f t="shared" si="9"/>
        <v>6150</v>
      </c>
      <c r="O24" s="440">
        <f t="shared" si="9"/>
        <v>420</v>
      </c>
      <c r="P24" s="440">
        <f t="shared" si="9"/>
        <v>2450</v>
      </c>
      <c r="Q24" s="440">
        <f t="shared" si="9"/>
        <v>0</v>
      </c>
      <c r="R24" s="440">
        <f t="shared" si="9"/>
        <v>7488</v>
      </c>
      <c r="S24" s="440">
        <f t="shared" si="9"/>
        <v>40</v>
      </c>
      <c r="T24" s="440">
        <f t="shared" si="9"/>
        <v>50072</v>
      </c>
      <c r="U24" s="52"/>
    </row>
    <row r="25" spans="1:21" ht="19.5" customHeight="1">
      <c r="A25" s="450"/>
      <c r="B25" s="450"/>
      <c r="C25" s="450"/>
      <c r="D25" s="450"/>
      <c r="E25" s="450"/>
      <c r="F25" s="450"/>
      <c r="G25" s="450"/>
      <c r="H25" s="450"/>
      <c r="I25" s="450"/>
      <c r="J25" s="450"/>
      <c r="K25" s="451"/>
      <c r="L25" s="451"/>
      <c r="M25" s="451"/>
      <c r="N25" s="451"/>
      <c r="O25" s="451"/>
      <c r="P25" s="451"/>
      <c r="Q25" s="451"/>
      <c r="R25" s="451"/>
      <c r="S25" s="451"/>
      <c r="T25" s="451"/>
      <c r="U25" s="52"/>
    </row>
    <row r="26" spans="1:21" ht="19.5" customHeight="1">
      <c r="A26" s="450"/>
      <c r="B26" s="450"/>
      <c r="C26" s="450"/>
      <c r="D26" s="450"/>
      <c r="E26" s="450"/>
      <c r="F26" s="450"/>
      <c r="G26" s="450"/>
      <c r="H26" s="450"/>
      <c r="I26" s="450"/>
      <c r="J26" s="450"/>
      <c r="K26" s="451"/>
      <c r="L26" s="451"/>
      <c r="M26" s="451"/>
      <c r="N26" s="451"/>
      <c r="O26" s="451"/>
      <c r="P26" s="451"/>
      <c r="Q26" s="451"/>
      <c r="R26" s="451"/>
      <c r="S26" s="451"/>
      <c r="T26" s="451"/>
      <c r="U26" s="52"/>
    </row>
    <row r="27" ht="21.75" customHeight="1"/>
    <row r="28" spans="1:20" ht="16.5" customHeight="1">
      <c r="A28" s="113"/>
      <c r="B28" s="113"/>
      <c r="C28" s="114" t="s">
        <v>24</v>
      </c>
      <c r="D28" s="114"/>
      <c r="E28" s="114"/>
      <c r="F28" s="114"/>
      <c r="G28" s="114"/>
      <c r="H28" s="114"/>
      <c r="I28" s="114"/>
      <c r="J28" s="114"/>
      <c r="K28" s="114"/>
      <c r="L28" s="114"/>
      <c r="M28" s="114"/>
      <c r="N28" s="114"/>
      <c r="O28" s="114"/>
      <c r="P28" s="114"/>
      <c r="Q28" s="114"/>
      <c r="R28" s="582" t="s">
        <v>198</v>
      </c>
      <c r="S28" s="582"/>
      <c r="T28" s="582"/>
    </row>
    <row r="29" ht="13.5">
      <c r="I29" s="52" t="str">
        <f>'Annexure -II'!B66</f>
        <v>Progrmme developed by www.prtunzb.webs.com (Putta Srinivas Reddy 98490 25860)</v>
      </c>
    </row>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sheetData>
  <sheetProtection password="D7F0" sheet="1" objects="1" scenarios="1"/>
  <protectedRanges>
    <protectedRange sqref="A1:T24" name="Range1"/>
  </protectedRanges>
  <mergeCells count="3">
    <mergeCell ref="A24:B24"/>
    <mergeCell ref="A1:T1"/>
    <mergeCell ref="R28:T28"/>
  </mergeCells>
  <printOptions/>
  <pageMargins left="0.7" right="0.4" top="0.58" bottom="0.49" header="0" footer="0.28"/>
  <pageSetup horizontalDpi="120" verticalDpi="120" orientation="landscape" paperSize="9" scale="90" r:id="rId1"/>
</worksheet>
</file>

<file path=xl/worksheets/sheet4.xml><?xml version="1.0" encoding="utf-8"?>
<worksheet xmlns="http://schemas.openxmlformats.org/spreadsheetml/2006/main" xmlns:r="http://schemas.openxmlformats.org/officeDocument/2006/relationships">
  <dimension ref="B2:AF86"/>
  <sheetViews>
    <sheetView showGridLines="0" showRowColHeaders="0" zoomScalePageLayoutView="0" workbookViewId="0" topLeftCell="A19">
      <selection activeCell="M47" sqref="M47"/>
    </sheetView>
  </sheetViews>
  <sheetFormatPr defaultColWidth="9.140625" defaultRowHeight="15" customHeight="1"/>
  <cols>
    <col min="1" max="1" width="1.421875" style="71" customWidth="1"/>
    <col min="2" max="2" width="4.421875" style="71" customWidth="1"/>
    <col min="3" max="3" width="3.57421875" style="71" customWidth="1"/>
    <col min="4" max="4" width="4.7109375" style="71" customWidth="1"/>
    <col min="5" max="5" width="4.57421875" style="71" customWidth="1"/>
    <col min="6" max="6" width="5.28125" style="71" customWidth="1"/>
    <col min="7" max="7" width="6.421875" style="71" customWidth="1"/>
    <col min="8" max="8" width="17.7109375" style="71" customWidth="1"/>
    <col min="9" max="9" width="6.421875" style="71" customWidth="1"/>
    <col min="10" max="10" width="3.8515625" style="72" customWidth="1"/>
    <col min="11" max="11" width="2.57421875" style="72" customWidth="1"/>
    <col min="12" max="12" width="12.8515625" style="72" customWidth="1"/>
    <col min="13" max="13" width="17.28125" style="72" customWidth="1"/>
    <col min="14" max="14" width="1.8515625" style="71" hidden="1" customWidth="1"/>
    <col min="15" max="73" width="9.140625" style="71" hidden="1" customWidth="1"/>
    <col min="74" max="142" width="9.140625" style="71" customWidth="1"/>
    <col min="143" max="16384" width="9.140625" style="71" customWidth="1"/>
  </cols>
  <sheetData>
    <row r="1" ht="7.5" customHeight="1"/>
    <row r="2" spans="2:14" ht="15" customHeight="1">
      <c r="B2" s="612"/>
      <c r="C2" s="607"/>
      <c r="D2" s="607"/>
      <c r="E2" s="607"/>
      <c r="F2" s="607"/>
      <c r="G2" s="607" t="s">
        <v>234</v>
      </c>
      <c r="H2" s="607"/>
      <c r="I2" s="607"/>
      <c r="J2" s="607"/>
      <c r="K2" s="607"/>
      <c r="L2" s="607"/>
      <c r="M2" s="214"/>
      <c r="N2" s="74"/>
    </row>
    <row r="3" spans="2:14" ht="13.5" customHeight="1">
      <c r="B3" s="613" t="s">
        <v>584</v>
      </c>
      <c r="C3" s="614"/>
      <c r="D3" s="614"/>
      <c r="E3" s="614"/>
      <c r="F3" s="614"/>
      <c r="G3" s="614"/>
      <c r="H3" s="614"/>
      <c r="I3" s="614"/>
      <c r="J3" s="614"/>
      <c r="K3" s="614"/>
      <c r="L3" s="614"/>
      <c r="M3" s="615"/>
      <c r="N3" s="75"/>
    </row>
    <row r="4" spans="2:14" ht="12.75" customHeight="1">
      <c r="B4" s="608" t="s">
        <v>236</v>
      </c>
      <c r="C4" s="609"/>
      <c r="D4" s="609"/>
      <c r="E4" s="622" t="str">
        <f>DATA!D3</f>
        <v>D.Latha</v>
      </c>
      <c r="F4" s="622"/>
      <c r="G4" s="622"/>
      <c r="H4" s="622"/>
      <c r="I4" s="623" t="s">
        <v>237</v>
      </c>
      <c r="J4" s="623"/>
      <c r="K4" s="623"/>
      <c r="L4" s="610" t="str">
        <f>DATA!C4</f>
        <v>M.P.P.School.Enikepadu</v>
      </c>
      <c r="M4" s="611"/>
      <c r="N4" s="76"/>
    </row>
    <row r="5" spans="2:14" ht="12.75" customHeight="1">
      <c r="B5" s="618" t="s">
        <v>238</v>
      </c>
      <c r="C5" s="619"/>
      <c r="D5" s="619"/>
      <c r="E5" s="596" t="str">
        <f>DATA!Z4</f>
        <v>SGT </v>
      </c>
      <c r="F5" s="596"/>
      <c r="G5" s="596"/>
      <c r="H5" s="596"/>
      <c r="I5" s="597" t="s">
        <v>37</v>
      </c>
      <c r="J5" s="597"/>
      <c r="K5" s="597"/>
      <c r="L5" s="620" t="str">
        <f>DATA!L4</f>
        <v>vijayavada</v>
      </c>
      <c r="M5" s="621"/>
      <c r="N5" s="76"/>
    </row>
    <row r="6" spans="2:14" ht="13.5" customHeight="1">
      <c r="B6" s="215">
        <v>1</v>
      </c>
      <c r="C6" s="603" t="str">
        <f>DATA!H72</f>
        <v>Leaving in : Rented House</v>
      </c>
      <c r="D6" s="604"/>
      <c r="E6" s="604"/>
      <c r="F6" s="604"/>
      <c r="G6" s="604"/>
      <c r="H6" s="598" t="s">
        <v>535</v>
      </c>
      <c r="I6" s="598"/>
      <c r="J6" s="598"/>
      <c r="K6" s="431"/>
      <c r="L6" s="616">
        <f>DATA!L14</f>
        <v>0</v>
      </c>
      <c r="M6" s="617"/>
      <c r="N6" s="77"/>
    </row>
    <row r="7" spans="2:14" ht="13.5" customHeight="1">
      <c r="B7" s="215">
        <v>2</v>
      </c>
      <c r="C7" s="593" t="s">
        <v>239</v>
      </c>
      <c r="D7" s="594"/>
      <c r="E7" s="594"/>
      <c r="F7" s="594"/>
      <c r="G7" s="594"/>
      <c r="H7" s="594"/>
      <c r="I7" s="594"/>
      <c r="J7" s="217" t="s">
        <v>240</v>
      </c>
      <c r="K7" s="218"/>
      <c r="L7" s="219"/>
      <c r="M7" s="220">
        <f>'Annexure -I'!L24</f>
        <v>301042</v>
      </c>
      <c r="N7" s="78"/>
    </row>
    <row r="8" spans="2:14" ht="13.5" customHeight="1">
      <c r="B8" s="215">
        <v>3</v>
      </c>
      <c r="C8" s="599" t="s">
        <v>241</v>
      </c>
      <c r="D8" s="600"/>
      <c r="E8" s="600"/>
      <c r="F8" s="600"/>
      <c r="G8" s="600"/>
      <c r="H8" s="600"/>
      <c r="I8" s="600"/>
      <c r="J8" s="221"/>
      <c r="K8" s="222"/>
      <c r="L8" s="223"/>
      <c r="M8" s="220"/>
      <c r="N8" s="80"/>
    </row>
    <row r="9" spans="2:14" ht="13.5" customHeight="1">
      <c r="B9" s="215"/>
      <c r="C9" s="224" t="s">
        <v>242</v>
      </c>
      <c r="D9" s="589" t="s">
        <v>243</v>
      </c>
      <c r="E9" s="589"/>
      <c r="F9" s="589"/>
      <c r="G9" s="589"/>
      <c r="H9" s="589"/>
      <c r="I9" s="589"/>
      <c r="J9" s="225" t="s">
        <v>240</v>
      </c>
      <c r="K9" s="226"/>
      <c r="L9" s="227">
        <f>'Annexure -I'!E24</f>
        <v>38772</v>
      </c>
      <c r="M9" s="220"/>
      <c r="N9" s="80"/>
    </row>
    <row r="10" spans="2:14" ht="13.5" customHeight="1">
      <c r="B10" s="215"/>
      <c r="C10" s="224" t="s">
        <v>244</v>
      </c>
      <c r="D10" s="589" t="str">
        <f>DATA!O84</f>
        <v>Rent paid in excess of 10% Salary(Rent: @ 5000/-PM)</v>
      </c>
      <c r="E10" s="589"/>
      <c r="F10" s="589"/>
      <c r="G10" s="589"/>
      <c r="H10" s="589"/>
      <c r="I10" s="589"/>
      <c r="J10" s="225" t="s">
        <v>240</v>
      </c>
      <c r="K10" s="226"/>
      <c r="L10" s="227">
        <f>IF(DATA!M72=1,0,DATA!Q82)</f>
        <v>34037</v>
      </c>
      <c r="M10" s="220"/>
      <c r="N10" s="80"/>
    </row>
    <row r="11" spans="2:14" ht="13.5" customHeight="1">
      <c r="B11" s="215"/>
      <c r="C11" s="224" t="s">
        <v>245</v>
      </c>
      <c r="D11" s="589" t="s">
        <v>246</v>
      </c>
      <c r="E11" s="589"/>
      <c r="F11" s="589"/>
      <c r="G11" s="589"/>
      <c r="H11" s="589"/>
      <c r="I11" s="589"/>
      <c r="J11" s="225" t="s">
        <v>240</v>
      </c>
      <c r="K11" s="226"/>
      <c r="L11" s="227">
        <f>ROUND(('Annexure -I'!C24+'Annexure -I'!D24)*0.4,-2)</f>
        <v>103900</v>
      </c>
      <c r="M11" s="228">
        <f>MIN(L9:L11)</f>
        <v>34037</v>
      </c>
      <c r="N11" s="80"/>
    </row>
    <row r="12" spans="2:14" ht="13.5" customHeight="1">
      <c r="B12" s="215">
        <v>4</v>
      </c>
      <c r="C12" s="593" t="s">
        <v>247</v>
      </c>
      <c r="D12" s="594"/>
      <c r="E12" s="594"/>
      <c r="F12" s="594"/>
      <c r="G12" s="594"/>
      <c r="H12" s="594"/>
      <c r="I12" s="594"/>
      <c r="J12" s="221" t="s">
        <v>240</v>
      </c>
      <c r="K12" s="222"/>
      <c r="L12" s="223"/>
      <c r="M12" s="229">
        <f>M7-M11</f>
        <v>267005</v>
      </c>
      <c r="N12" s="78"/>
    </row>
    <row r="13" spans="2:14" ht="13.5" customHeight="1">
      <c r="B13" s="215">
        <v>5</v>
      </c>
      <c r="C13" s="593" t="s">
        <v>248</v>
      </c>
      <c r="D13" s="594"/>
      <c r="E13" s="594"/>
      <c r="F13" s="594"/>
      <c r="G13" s="594"/>
      <c r="H13" s="594"/>
      <c r="I13" s="594"/>
      <c r="J13" s="221"/>
      <c r="K13" s="222"/>
      <c r="L13" s="223"/>
      <c r="M13" s="220"/>
      <c r="N13" s="80"/>
    </row>
    <row r="14" spans="2:14" ht="13.5" customHeight="1">
      <c r="B14" s="215"/>
      <c r="C14" s="224" t="s">
        <v>242</v>
      </c>
      <c r="D14" s="606" t="s">
        <v>249</v>
      </c>
      <c r="E14" s="606"/>
      <c r="F14" s="606"/>
      <c r="G14" s="606"/>
      <c r="H14" s="606"/>
      <c r="I14" s="606"/>
      <c r="J14" s="225" t="s">
        <v>240</v>
      </c>
      <c r="K14" s="226"/>
      <c r="L14" s="227">
        <f>'Annexure -I'!K24</f>
        <v>0</v>
      </c>
      <c r="M14" s="220"/>
      <c r="N14" s="80"/>
    </row>
    <row r="15" spans="2:14" ht="13.5" customHeight="1">
      <c r="B15" s="215"/>
      <c r="C15" s="224" t="s">
        <v>244</v>
      </c>
      <c r="D15" s="589" t="s">
        <v>251</v>
      </c>
      <c r="E15" s="589"/>
      <c r="F15" s="589"/>
      <c r="G15" s="589"/>
      <c r="H15" s="589"/>
      <c r="I15" s="230"/>
      <c r="J15" s="225" t="s">
        <v>240</v>
      </c>
      <c r="K15" s="226"/>
      <c r="L15" s="227">
        <f>'Annexure -I'!P24</f>
        <v>2450</v>
      </c>
      <c r="M15" s="228">
        <f>L15+L14</f>
        <v>2450</v>
      </c>
      <c r="N15" s="80"/>
    </row>
    <row r="16" spans="2:14" ht="13.5" customHeight="1">
      <c r="B16" s="215">
        <v>6</v>
      </c>
      <c r="C16" s="593" t="s">
        <v>252</v>
      </c>
      <c r="D16" s="594"/>
      <c r="E16" s="594"/>
      <c r="F16" s="594"/>
      <c r="G16" s="594"/>
      <c r="H16" s="594"/>
      <c r="I16" s="594"/>
      <c r="J16" s="221" t="s">
        <v>240</v>
      </c>
      <c r="K16" s="222"/>
      <c r="L16" s="223"/>
      <c r="M16" s="231">
        <f>M12-M15</f>
        <v>264555</v>
      </c>
      <c r="N16" s="78"/>
    </row>
    <row r="17" spans="2:14" ht="12" customHeight="1">
      <c r="B17" s="215">
        <v>7</v>
      </c>
      <c r="C17" s="592" t="s">
        <v>253</v>
      </c>
      <c r="D17" s="589"/>
      <c r="E17" s="589"/>
      <c r="F17" s="589"/>
      <c r="G17" s="589"/>
      <c r="H17" s="589"/>
      <c r="I17" s="589"/>
      <c r="J17" s="221" t="s">
        <v>240</v>
      </c>
      <c r="K17" s="222"/>
      <c r="L17" s="223"/>
      <c r="M17" s="220">
        <f>L17</f>
        <v>0</v>
      </c>
      <c r="N17" s="80"/>
    </row>
    <row r="18" spans="2:14" ht="12" customHeight="1">
      <c r="B18" s="215">
        <v>8</v>
      </c>
      <c r="C18" s="592" t="s">
        <v>254</v>
      </c>
      <c r="D18" s="589"/>
      <c r="E18" s="589"/>
      <c r="F18" s="589"/>
      <c r="G18" s="589"/>
      <c r="H18" s="589"/>
      <c r="I18" s="589"/>
      <c r="J18" s="221" t="s">
        <v>240</v>
      </c>
      <c r="K18" s="222"/>
      <c r="L18" s="223"/>
      <c r="M18" s="220">
        <f>L18</f>
        <v>0</v>
      </c>
      <c r="N18" s="80"/>
    </row>
    <row r="19" spans="2:14" ht="12" customHeight="1">
      <c r="B19" s="215">
        <v>9</v>
      </c>
      <c r="C19" s="592" t="s">
        <v>298</v>
      </c>
      <c r="D19" s="589"/>
      <c r="E19" s="589"/>
      <c r="F19" s="589"/>
      <c r="G19" s="589"/>
      <c r="H19" s="589"/>
      <c r="I19" s="589"/>
      <c r="J19" s="221" t="s">
        <v>240</v>
      </c>
      <c r="K19" s="222"/>
      <c r="L19" s="223">
        <f>IF(DATA!M72=2,0,DATA!P18)</f>
        <v>0</v>
      </c>
      <c r="M19" s="228">
        <f>L19</f>
        <v>0</v>
      </c>
      <c r="N19" s="80"/>
    </row>
    <row r="20" spans="2:14" ht="13.5" customHeight="1">
      <c r="B20" s="215">
        <v>10</v>
      </c>
      <c r="C20" s="593" t="s">
        <v>255</v>
      </c>
      <c r="D20" s="594"/>
      <c r="E20" s="594"/>
      <c r="F20" s="594"/>
      <c r="G20" s="594"/>
      <c r="H20" s="594"/>
      <c r="I20" s="594"/>
      <c r="J20" s="221" t="s">
        <v>240</v>
      </c>
      <c r="K20" s="222"/>
      <c r="L20" s="223"/>
      <c r="M20" s="229">
        <f>M16+M17+M18+M19</f>
        <v>264555</v>
      </c>
      <c r="N20" s="78"/>
    </row>
    <row r="21" spans="2:14" ht="18" customHeight="1">
      <c r="B21" s="215">
        <v>11</v>
      </c>
      <c r="C21" s="593" t="s">
        <v>256</v>
      </c>
      <c r="D21" s="594"/>
      <c r="E21" s="594"/>
      <c r="F21" s="594"/>
      <c r="G21" s="594"/>
      <c r="H21" s="594"/>
      <c r="I21" s="594"/>
      <c r="J21" s="221"/>
      <c r="K21" s="222"/>
      <c r="L21" s="223"/>
      <c r="M21" s="220"/>
      <c r="N21" s="80"/>
    </row>
    <row r="22" spans="2:14" ht="12" customHeight="1">
      <c r="B22" s="215"/>
      <c r="C22" s="224" t="s">
        <v>242</v>
      </c>
      <c r="D22" s="601" t="str">
        <f>DATA!N56</f>
        <v>Expenditure on medical treatment</v>
      </c>
      <c r="E22" s="601"/>
      <c r="F22" s="601"/>
      <c r="G22" s="601"/>
      <c r="H22" s="601"/>
      <c r="I22" s="233"/>
      <c r="J22" s="234" t="s">
        <v>240</v>
      </c>
      <c r="K22" s="235"/>
      <c r="L22" s="236"/>
      <c r="M22" s="220"/>
      <c r="N22" s="80"/>
    </row>
    <row r="23" spans="2:14" ht="12" customHeight="1">
      <c r="B23" s="215"/>
      <c r="C23" s="224" t="s">
        <v>244</v>
      </c>
      <c r="D23" s="601" t="str">
        <f>DATA!N53</f>
        <v>Medical Insurance Premium</v>
      </c>
      <c r="E23" s="601"/>
      <c r="F23" s="601"/>
      <c r="G23" s="601"/>
      <c r="H23" s="601"/>
      <c r="I23" s="233"/>
      <c r="J23" s="234" t="s">
        <v>240</v>
      </c>
      <c r="K23" s="235"/>
      <c r="L23" s="236">
        <f>DATA!T53</f>
        <v>0</v>
      </c>
      <c r="M23" s="220"/>
      <c r="N23" s="80"/>
    </row>
    <row r="24" spans="2:14" ht="12" customHeight="1">
      <c r="B24" s="215"/>
      <c r="C24" s="224" t="s">
        <v>245</v>
      </c>
      <c r="D24" s="601" t="str">
        <f>DATA!N59</f>
        <v>Donation of Charitable Institution</v>
      </c>
      <c r="E24" s="601"/>
      <c r="F24" s="601"/>
      <c r="G24" s="601"/>
      <c r="H24" s="601"/>
      <c r="I24" s="233"/>
      <c r="J24" s="234" t="s">
        <v>240</v>
      </c>
      <c r="K24" s="235"/>
      <c r="L24" s="236"/>
      <c r="M24" s="220"/>
      <c r="N24" s="80"/>
    </row>
    <row r="25" spans="2:14" ht="12" customHeight="1">
      <c r="B25" s="215"/>
      <c r="C25" s="224" t="s">
        <v>257</v>
      </c>
      <c r="D25" s="601" t="str">
        <f>DATA!N63</f>
        <v>Interest on Educational Loan</v>
      </c>
      <c r="E25" s="601"/>
      <c r="F25" s="601"/>
      <c r="G25" s="601"/>
      <c r="H25" s="601"/>
      <c r="I25" s="233"/>
      <c r="J25" s="234" t="s">
        <v>240</v>
      </c>
      <c r="K25" s="235"/>
      <c r="L25" s="236">
        <f>DATA!T63</f>
        <v>0</v>
      </c>
      <c r="M25" s="220"/>
      <c r="N25" s="80"/>
    </row>
    <row r="26" spans="2:14" ht="12" customHeight="1">
      <c r="B26" s="215"/>
      <c r="C26" s="224" t="s">
        <v>258</v>
      </c>
      <c r="D26" s="601" t="str">
        <f>DATA!N65</f>
        <v>Interest on Housing Loan Advance</v>
      </c>
      <c r="E26" s="601"/>
      <c r="F26" s="601"/>
      <c r="G26" s="601"/>
      <c r="H26" s="601"/>
      <c r="I26" s="233"/>
      <c r="J26" s="234" t="s">
        <v>240</v>
      </c>
      <c r="K26" s="235"/>
      <c r="L26" s="236">
        <f>DATA!T65</f>
        <v>0</v>
      </c>
      <c r="M26" s="220"/>
      <c r="N26" s="80"/>
    </row>
    <row r="27" spans="2:14" ht="12" customHeight="1">
      <c r="B27" s="215"/>
      <c r="C27" s="224" t="s">
        <v>259</v>
      </c>
      <c r="D27" s="601" t="str">
        <f>DATA!N67</f>
        <v>Medical treatment of Handicapped/Dependent</v>
      </c>
      <c r="E27" s="601"/>
      <c r="F27" s="601"/>
      <c r="G27" s="601"/>
      <c r="H27" s="601"/>
      <c r="I27" s="232"/>
      <c r="J27" s="234" t="s">
        <v>240</v>
      </c>
      <c r="K27" s="237"/>
      <c r="L27" s="236">
        <f>DATA!T67</f>
        <v>0</v>
      </c>
      <c r="M27" s="220"/>
      <c r="N27" s="80"/>
    </row>
    <row r="28" spans="2:14" ht="12" customHeight="1">
      <c r="B28" s="215"/>
      <c r="C28" s="224" t="s">
        <v>260</v>
      </c>
      <c r="D28" s="601">
        <f>DATA!N68</f>
      </c>
      <c r="E28" s="601"/>
      <c r="F28" s="601"/>
      <c r="G28" s="601"/>
      <c r="H28" s="601"/>
      <c r="I28" s="232"/>
      <c r="J28" s="234" t="s">
        <v>240</v>
      </c>
      <c r="K28" s="237"/>
      <c r="L28" s="236">
        <f>DATA!T68</f>
        <v>0</v>
      </c>
      <c r="M28" s="220"/>
      <c r="N28" s="80"/>
    </row>
    <row r="29" spans="2:14" ht="12" customHeight="1">
      <c r="B29" s="215"/>
      <c r="C29" s="224" t="s">
        <v>16</v>
      </c>
      <c r="D29" s="601" t="s">
        <v>261</v>
      </c>
      <c r="E29" s="601"/>
      <c r="F29" s="601"/>
      <c r="G29" s="601"/>
      <c r="H29" s="601"/>
      <c r="I29" s="601"/>
      <c r="J29" s="238" t="s">
        <v>240</v>
      </c>
      <c r="K29" s="239"/>
      <c r="L29" s="240">
        <f>'Annexure -I'!S24</f>
        <v>40</v>
      </c>
      <c r="M29" s="220"/>
      <c r="N29" s="80"/>
    </row>
    <row r="30" spans="2:14" ht="15" customHeight="1">
      <c r="B30" s="215"/>
      <c r="C30" s="593" t="s">
        <v>262</v>
      </c>
      <c r="D30" s="594"/>
      <c r="E30" s="594"/>
      <c r="F30" s="594"/>
      <c r="G30" s="594"/>
      <c r="H30" s="594"/>
      <c r="I30" s="594"/>
      <c r="J30" s="241" t="s">
        <v>240</v>
      </c>
      <c r="K30" s="242"/>
      <c r="L30" s="243">
        <f>SUM(L22:L29)</f>
        <v>40</v>
      </c>
      <c r="M30" s="228">
        <f>L30</f>
        <v>40</v>
      </c>
      <c r="N30" s="80"/>
    </row>
    <row r="31" spans="2:14" ht="18" customHeight="1">
      <c r="B31" s="215">
        <v>12</v>
      </c>
      <c r="C31" s="593" t="s">
        <v>263</v>
      </c>
      <c r="D31" s="594"/>
      <c r="E31" s="594"/>
      <c r="F31" s="594"/>
      <c r="G31" s="594"/>
      <c r="H31" s="594"/>
      <c r="I31" s="594"/>
      <c r="J31" s="221" t="s">
        <v>240</v>
      </c>
      <c r="K31" s="222"/>
      <c r="L31" s="223"/>
      <c r="M31" s="229">
        <f>M20-M30</f>
        <v>264515</v>
      </c>
      <c r="N31" s="78"/>
    </row>
    <row r="32" spans="2:14" ht="18" customHeight="1">
      <c r="B32" s="215">
        <v>13</v>
      </c>
      <c r="C32" s="593" t="s">
        <v>264</v>
      </c>
      <c r="D32" s="594"/>
      <c r="E32" s="594"/>
      <c r="F32" s="594"/>
      <c r="G32" s="594"/>
      <c r="H32" s="594"/>
      <c r="I32" s="594"/>
      <c r="J32" s="221"/>
      <c r="K32" s="222"/>
      <c r="L32" s="223"/>
      <c r="M32" s="220"/>
      <c r="N32" s="80"/>
    </row>
    <row r="33" spans="2:14" ht="12" customHeight="1">
      <c r="B33" s="215"/>
      <c r="C33" s="224" t="s">
        <v>242</v>
      </c>
      <c r="D33" s="601" t="str">
        <f>'Annexure -I'!M3</f>
        <v>ZP GPF</v>
      </c>
      <c r="E33" s="601"/>
      <c r="F33" s="601"/>
      <c r="G33" s="336" t="s">
        <v>524</v>
      </c>
      <c r="H33" s="232">
        <f>DATA!F14</f>
        <v>0</v>
      </c>
      <c r="I33" s="245" t="s">
        <v>291</v>
      </c>
      <c r="J33" s="225" t="s">
        <v>240</v>
      </c>
      <c r="K33" s="226"/>
      <c r="L33" s="236">
        <f>'Annexure -I'!M24</f>
        <v>33524</v>
      </c>
      <c r="M33" s="220"/>
      <c r="N33" s="80"/>
    </row>
    <row r="34" spans="2:14" ht="12" customHeight="1">
      <c r="B34" s="215"/>
      <c r="C34" s="224" t="s">
        <v>244</v>
      </c>
      <c r="D34" s="601" t="s">
        <v>21</v>
      </c>
      <c r="E34" s="601"/>
      <c r="F34" s="232"/>
      <c r="G34" s="244" t="s">
        <v>525</v>
      </c>
      <c r="H34" s="245">
        <f>DATA!C16</f>
        <v>0</v>
      </c>
      <c r="I34" s="245" t="s">
        <v>291</v>
      </c>
      <c r="J34" s="225" t="s">
        <v>240</v>
      </c>
      <c r="K34" s="226"/>
      <c r="L34" s="236">
        <f>'Annexure -I'!N24</f>
        <v>6150</v>
      </c>
      <c r="M34" s="220"/>
      <c r="N34" s="80"/>
    </row>
    <row r="35" spans="2:14" ht="12" customHeight="1">
      <c r="B35" s="215"/>
      <c r="C35" s="224" t="s">
        <v>245</v>
      </c>
      <c r="D35" s="232" t="s">
        <v>22</v>
      </c>
      <c r="E35" s="232"/>
      <c r="F35" s="232"/>
      <c r="G35" s="232"/>
      <c r="H35" s="232"/>
      <c r="I35" s="232"/>
      <c r="J35" s="225" t="s">
        <v>240</v>
      </c>
      <c r="K35" s="226"/>
      <c r="L35" s="236">
        <f>'Annexure -I'!O24</f>
        <v>420</v>
      </c>
      <c r="M35" s="220"/>
      <c r="N35" s="80"/>
    </row>
    <row r="36" spans="2:14" ht="12" customHeight="1">
      <c r="B36" s="215"/>
      <c r="C36" s="224" t="s">
        <v>257</v>
      </c>
      <c r="D36" s="601" t="s">
        <v>265</v>
      </c>
      <c r="E36" s="601"/>
      <c r="F36" s="601"/>
      <c r="G36" s="601"/>
      <c r="H36" s="601"/>
      <c r="I36" s="601"/>
      <c r="J36" s="225" t="s">
        <v>240</v>
      </c>
      <c r="K36" s="226"/>
      <c r="L36" s="236">
        <f>'Annexure -I'!R24</f>
        <v>7488</v>
      </c>
      <c r="M36" s="220"/>
      <c r="N36" s="80"/>
    </row>
    <row r="37" spans="2:14" ht="12" customHeight="1">
      <c r="B37" s="215"/>
      <c r="C37" s="224" t="s">
        <v>258</v>
      </c>
      <c r="D37" s="601" t="str">
        <f>DATA!BA16</f>
        <v>Children Tution Fee </v>
      </c>
      <c r="E37" s="601"/>
      <c r="F37" s="601"/>
      <c r="G37" s="601"/>
      <c r="H37" s="601"/>
      <c r="I37" s="601"/>
      <c r="J37" s="225" t="s">
        <v>240</v>
      </c>
      <c r="K37" s="226"/>
      <c r="L37" s="236">
        <f>DATA!E18</f>
        <v>79000</v>
      </c>
      <c r="M37" s="220"/>
      <c r="N37" s="80"/>
    </row>
    <row r="38" spans="2:14" ht="12" customHeight="1">
      <c r="B38" s="215"/>
      <c r="C38" s="224" t="s">
        <v>259</v>
      </c>
      <c r="D38" s="232" t="str">
        <f>DATA!BA17</f>
        <v>Repayement of Home Loan Premium</v>
      </c>
      <c r="E38" s="232"/>
      <c r="F38" s="232"/>
      <c r="G38" s="232"/>
      <c r="H38" s="232"/>
      <c r="I38" s="232"/>
      <c r="J38" s="225" t="s">
        <v>240</v>
      </c>
      <c r="K38" s="226"/>
      <c r="L38" s="236">
        <f>DATA!E19</f>
        <v>0</v>
      </c>
      <c r="M38" s="220"/>
      <c r="N38" s="80"/>
    </row>
    <row r="39" spans="2:14" ht="12" customHeight="1">
      <c r="B39" s="215"/>
      <c r="C39" s="224" t="s">
        <v>260</v>
      </c>
      <c r="D39" s="232" t="str">
        <f>DATA!BA18</f>
        <v>LIC Annual Premiums Paid by Hand</v>
      </c>
      <c r="E39" s="232"/>
      <c r="F39" s="232"/>
      <c r="G39" s="232"/>
      <c r="H39" s="232"/>
      <c r="I39" s="232"/>
      <c r="J39" s="225" t="s">
        <v>240</v>
      </c>
      <c r="K39" s="226"/>
      <c r="L39" s="236">
        <f>DATA!E20</f>
        <v>0</v>
      </c>
      <c r="M39" s="220"/>
      <c r="N39" s="80"/>
    </row>
    <row r="40" spans="2:14" ht="12" customHeight="1">
      <c r="B40" s="215"/>
      <c r="C40" s="224" t="s">
        <v>16</v>
      </c>
      <c r="D40" s="232" t="str">
        <f>DATA!BA19</f>
        <v>PLI Annual Premuim</v>
      </c>
      <c r="E40" s="232"/>
      <c r="F40" s="232"/>
      <c r="G40" s="232"/>
      <c r="H40" s="232"/>
      <c r="I40" s="232"/>
      <c r="J40" s="225" t="s">
        <v>240</v>
      </c>
      <c r="K40" s="226"/>
      <c r="L40" s="236">
        <f>DATA!E21</f>
        <v>0</v>
      </c>
      <c r="M40" s="220"/>
      <c r="N40" s="80"/>
    </row>
    <row r="41" spans="2:14" ht="12" customHeight="1">
      <c r="B41" s="215"/>
      <c r="C41" s="224" t="s">
        <v>266</v>
      </c>
      <c r="D41" s="232" t="str">
        <f>DATA!BA20</f>
        <v>5 Years Fixed Deposits </v>
      </c>
      <c r="E41" s="232"/>
      <c r="F41" s="232"/>
      <c r="G41" s="232"/>
      <c r="H41" s="232"/>
      <c r="I41" s="232"/>
      <c r="J41" s="225" t="s">
        <v>240</v>
      </c>
      <c r="K41" s="226"/>
      <c r="L41" s="236">
        <f>DATA!E22</f>
        <v>0</v>
      </c>
      <c r="M41" s="220"/>
      <c r="N41" s="80"/>
    </row>
    <row r="42" spans="2:14" ht="12" customHeight="1">
      <c r="B42" s="215"/>
      <c r="C42" s="224" t="s">
        <v>267</v>
      </c>
      <c r="D42" s="232" t="str">
        <f>DATA!BA21</f>
        <v>Unit Linked Insurance Plan</v>
      </c>
      <c r="E42" s="232"/>
      <c r="F42" s="232"/>
      <c r="G42" s="232"/>
      <c r="H42" s="232"/>
      <c r="I42" s="232"/>
      <c r="J42" s="225" t="s">
        <v>240</v>
      </c>
      <c r="K42" s="226"/>
      <c r="L42" s="236">
        <f>DATA!E23</f>
        <v>0</v>
      </c>
      <c r="M42" s="220"/>
      <c r="N42" s="80"/>
    </row>
    <row r="43" spans="2:14" ht="11.25" customHeight="1">
      <c r="B43" s="215"/>
      <c r="C43" s="224" t="s">
        <v>268</v>
      </c>
      <c r="D43" s="232" t="s">
        <v>294</v>
      </c>
      <c r="E43" s="232"/>
      <c r="F43" s="602">
        <f>DATA!B24</f>
        <v>0</v>
      </c>
      <c r="G43" s="602"/>
      <c r="H43" s="602"/>
      <c r="I43" s="232" t="s">
        <v>291</v>
      </c>
      <c r="J43" s="246" t="s">
        <v>240</v>
      </c>
      <c r="K43" s="247"/>
      <c r="L43" s="236">
        <f>DATA!E24</f>
        <v>0</v>
      </c>
      <c r="M43" s="220"/>
      <c r="N43" s="80"/>
    </row>
    <row r="44" spans="2:14" ht="14.25" customHeight="1">
      <c r="B44" s="215"/>
      <c r="C44" s="593" t="s">
        <v>269</v>
      </c>
      <c r="D44" s="594"/>
      <c r="E44" s="594"/>
      <c r="F44" s="594"/>
      <c r="G44" s="216"/>
      <c r="H44" s="216"/>
      <c r="I44" s="248"/>
      <c r="J44" s="241" t="s">
        <v>240</v>
      </c>
      <c r="K44" s="242"/>
      <c r="L44" s="243">
        <f>SUM(L33:L43)</f>
        <v>126582</v>
      </c>
      <c r="M44" s="249">
        <f>IF(L44&lt;=100000,L44,100000)</f>
        <v>100000</v>
      </c>
      <c r="N44" s="86"/>
    </row>
    <row r="45" spans="2:14" ht="15.75" customHeight="1">
      <c r="B45" s="215"/>
      <c r="C45" s="593" t="str">
        <f>DATA!G23</f>
        <v>Long Term Savings under 80CCF</v>
      </c>
      <c r="D45" s="594"/>
      <c r="E45" s="594"/>
      <c r="F45" s="594"/>
      <c r="G45" s="594"/>
      <c r="H45" s="594"/>
      <c r="I45" s="605"/>
      <c r="J45" s="221" t="s">
        <v>240</v>
      </c>
      <c r="K45" s="222"/>
      <c r="L45" s="223">
        <f>DATA!M23</f>
        <v>0</v>
      </c>
      <c r="M45" s="229">
        <f>IF(L45&lt;=20000,L45,20000)</f>
        <v>0</v>
      </c>
      <c r="N45" s="86"/>
    </row>
    <row r="46" spans="2:14" ht="12.75" customHeight="1">
      <c r="B46" s="215">
        <v>14</v>
      </c>
      <c r="C46" s="593" t="s">
        <v>295</v>
      </c>
      <c r="D46" s="594"/>
      <c r="E46" s="594"/>
      <c r="F46" s="594"/>
      <c r="G46" s="594"/>
      <c r="H46" s="594"/>
      <c r="I46" s="594"/>
      <c r="J46" s="250" t="s">
        <v>240</v>
      </c>
      <c r="K46" s="251"/>
      <c r="L46" s="252"/>
      <c r="M46" s="253">
        <f>ROUND(M31-M44-M45,-1)</f>
        <v>164520</v>
      </c>
      <c r="N46" s="78"/>
    </row>
    <row r="47" spans="2:14" ht="12.75" customHeight="1">
      <c r="B47" s="215">
        <v>15</v>
      </c>
      <c r="C47" s="593" t="s">
        <v>270</v>
      </c>
      <c r="D47" s="594"/>
      <c r="E47" s="594"/>
      <c r="F47" s="594"/>
      <c r="G47" s="594"/>
      <c r="H47" s="594"/>
      <c r="I47" s="216"/>
      <c r="J47" s="225"/>
      <c r="K47" s="226"/>
      <c r="L47" s="227"/>
      <c r="M47" s="254"/>
      <c r="N47" s="80"/>
    </row>
    <row r="48" spans="2:14" ht="12" customHeight="1">
      <c r="B48" s="215"/>
      <c r="C48" s="224" t="s">
        <v>242</v>
      </c>
      <c r="D48" s="595" t="str">
        <f>DATA!N86</f>
        <v>Up to Rs. 1,90,000</v>
      </c>
      <c r="E48" s="595"/>
      <c r="F48" s="595"/>
      <c r="G48" s="595"/>
      <c r="H48" s="595"/>
      <c r="I48" s="245"/>
      <c r="J48" s="225" t="s">
        <v>240</v>
      </c>
      <c r="K48" s="226"/>
      <c r="L48" s="227"/>
      <c r="M48" s="255" t="s">
        <v>271</v>
      </c>
      <c r="N48" s="87"/>
    </row>
    <row r="49" spans="2:30" ht="12" customHeight="1">
      <c r="B49" s="215"/>
      <c r="C49" s="224" t="s">
        <v>244</v>
      </c>
      <c r="D49" s="595" t="str">
        <f>DATA!N87</f>
        <v>Rs.1,90,001 To 5,00,000. (@ 10%)</v>
      </c>
      <c r="E49" s="595"/>
      <c r="F49" s="595"/>
      <c r="G49" s="595"/>
      <c r="H49" s="595"/>
      <c r="I49" s="245"/>
      <c r="J49" s="225" t="s">
        <v>240</v>
      </c>
      <c r="K49" s="226"/>
      <c r="L49" s="227"/>
      <c r="M49" s="254">
        <f>AF51</f>
        <v>0</v>
      </c>
      <c r="N49" s="82"/>
      <c r="Z49" s="71">
        <f>DATA!AA21</f>
        <v>2</v>
      </c>
      <c r="AB49" s="106">
        <f>M46</f>
        <v>164520</v>
      </c>
      <c r="AC49" s="106"/>
      <c r="AD49" s="106"/>
    </row>
    <row r="50" spans="2:32" ht="12" customHeight="1">
      <c r="B50" s="215"/>
      <c r="C50" s="224" t="s">
        <v>245</v>
      </c>
      <c r="D50" s="595" t="s">
        <v>272</v>
      </c>
      <c r="E50" s="595"/>
      <c r="F50" s="595"/>
      <c r="G50" s="595"/>
      <c r="H50" s="595"/>
      <c r="I50" s="245"/>
      <c r="J50" s="225" t="s">
        <v>240</v>
      </c>
      <c r="K50" s="226"/>
      <c r="L50" s="227"/>
      <c r="M50" s="254">
        <f>AF52</f>
        <v>0</v>
      </c>
      <c r="N50" s="82"/>
      <c r="AC50" s="71">
        <v>180000</v>
      </c>
      <c r="AD50" s="71">
        <v>190000</v>
      </c>
      <c r="AE50" s="71">
        <f>IF(Z48=1,AC50,AD50)</f>
        <v>190000</v>
      </c>
      <c r="AF50" s="71">
        <v>0</v>
      </c>
    </row>
    <row r="51" spans="2:32" ht="12" customHeight="1">
      <c r="B51" s="215"/>
      <c r="C51" s="224" t="s">
        <v>257</v>
      </c>
      <c r="D51" s="588" t="s">
        <v>299</v>
      </c>
      <c r="E51" s="588"/>
      <c r="F51" s="588"/>
      <c r="G51" s="588"/>
      <c r="H51" s="588"/>
      <c r="I51" s="245"/>
      <c r="J51" s="225" t="s">
        <v>240</v>
      </c>
      <c r="K51" s="226"/>
      <c r="L51" s="227"/>
      <c r="M51" s="254">
        <f>AF53</f>
        <v>0</v>
      </c>
      <c r="N51" s="82"/>
      <c r="Y51" s="71" t="str">
        <f>D49</f>
        <v>Rs.1,90,001 To 5,00,000. (@ 10%)</v>
      </c>
      <c r="AC51" s="71">
        <f>IF(AND(AB49&gt;500000),320000,IF(AND(AB49&gt;180000,AB49&lt;=500000),AB49-180000,0))</f>
        <v>0</v>
      </c>
      <c r="AD51" s="71">
        <f>IF(AND(AB49&gt;500000),310000,IF(AND(AB49&gt;190000,AB49&lt;=500000),AB49-190000,0))</f>
        <v>0</v>
      </c>
      <c r="AE51" s="71">
        <f>IF(Z49=1,AC51,AD51)</f>
        <v>0</v>
      </c>
      <c r="AF51" s="71">
        <f>ROUND(AE51*10%,0.1)</f>
        <v>0</v>
      </c>
    </row>
    <row r="52" spans="2:32" ht="12.75" customHeight="1">
      <c r="B52" s="215">
        <v>16</v>
      </c>
      <c r="C52" s="592" t="s">
        <v>273</v>
      </c>
      <c r="D52" s="589"/>
      <c r="E52" s="589"/>
      <c r="F52" s="589"/>
      <c r="G52" s="589"/>
      <c r="H52" s="589"/>
      <c r="I52" s="245"/>
      <c r="J52" s="225" t="s">
        <v>240</v>
      </c>
      <c r="K52" s="256"/>
      <c r="L52" s="227"/>
      <c r="M52" s="254">
        <f>ROUND((M49+M50+M51)*1%,0)</f>
        <v>0</v>
      </c>
      <c r="N52" s="80"/>
      <c r="Y52" s="71" t="str">
        <f>D50</f>
        <v>Rs.5,00,001 To 8,00,000.   (@ 20%)</v>
      </c>
      <c r="AC52" s="71">
        <f>IF(AND(AB49&gt;800000),300000,IF(AND(AB49&gt;500000,AB49&lt;=800000),AB49-500000,0))</f>
        <v>0</v>
      </c>
      <c r="AD52" s="71">
        <f>AC52</f>
        <v>0</v>
      </c>
      <c r="AE52" s="71">
        <f>IF(Z50=1,AC52,AD52)</f>
        <v>0</v>
      </c>
      <c r="AF52" s="71">
        <f>ROUND(AE52*20%,0.1)</f>
        <v>0</v>
      </c>
    </row>
    <row r="53" spans="2:32" ht="12.75" customHeight="1">
      <c r="B53" s="215">
        <v>17</v>
      </c>
      <c r="C53" s="592" t="s">
        <v>274</v>
      </c>
      <c r="D53" s="589"/>
      <c r="E53" s="589"/>
      <c r="F53" s="589"/>
      <c r="G53" s="589"/>
      <c r="H53" s="589"/>
      <c r="I53" s="245"/>
      <c r="J53" s="225" t="s">
        <v>240</v>
      </c>
      <c r="K53" s="256"/>
      <c r="L53" s="227"/>
      <c r="M53" s="254">
        <f>ROUND((M49+M50+M51)*2%,0)</f>
        <v>0</v>
      </c>
      <c r="N53" s="80"/>
      <c r="Y53" s="71" t="str">
        <f>D51</f>
        <v>above Rs.8,00,001.          (@ 30%)</v>
      </c>
      <c r="AC53" s="71">
        <f>IF(AND(AB49&gt;800000),AB49-800000,0)</f>
        <v>0</v>
      </c>
      <c r="AD53" s="71">
        <f>AC53</f>
        <v>0</v>
      </c>
      <c r="AE53" s="71">
        <f>IF(Z51=1,AC53,AD53)</f>
        <v>0</v>
      </c>
      <c r="AF53" s="71">
        <f>ROUND(AE53*30%,0.1)</f>
        <v>0</v>
      </c>
    </row>
    <row r="54" spans="2:31" ht="12.75" customHeight="1">
      <c r="B54" s="215">
        <v>18</v>
      </c>
      <c r="C54" s="593" t="s">
        <v>275</v>
      </c>
      <c r="D54" s="594"/>
      <c r="E54" s="594"/>
      <c r="F54" s="594"/>
      <c r="G54" s="594"/>
      <c r="H54" s="594"/>
      <c r="I54" s="257"/>
      <c r="J54" s="225" t="s">
        <v>240</v>
      </c>
      <c r="K54" s="226"/>
      <c r="L54" s="227"/>
      <c r="M54" s="254">
        <f>SUM(M49:M53)</f>
        <v>0</v>
      </c>
      <c r="N54" s="78"/>
      <c r="AC54" s="71">
        <f>SUM(AC50:AC53)</f>
        <v>180000</v>
      </c>
      <c r="AD54" s="71">
        <f>SUM(AD50:AD53)</f>
        <v>190000</v>
      </c>
      <c r="AE54" s="71">
        <f>SUM(AE50:AE53)</f>
        <v>190000</v>
      </c>
    </row>
    <row r="55" spans="2:14" ht="12.75" customHeight="1">
      <c r="B55" s="215">
        <v>19</v>
      </c>
      <c r="C55" s="593" t="s">
        <v>305</v>
      </c>
      <c r="D55" s="594"/>
      <c r="E55" s="594"/>
      <c r="F55" s="594"/>
      <c r="G55" s="594"/>
      <c r="H55" s="594"/>
      <c r="I55" s="257"/>
      <c r="J55" s="225" t="s">
        <v>240</v>
      </c>
      <c r="K55" s="226"/>
      <c r="L55" s="227"/>
      <c r="M55" s="254"/>
      <c r="N55" s="80"/>
    </row>
    <row r="56" spans="2:14" ht="13.5" customHeight="1">
      <c r="B56" s="215"/>
      <c r="C56" s="224" t="s">
        <v>242</v>
      </c>
      <c r="D56" s="148" t="s">
        <v>276</v>
      </c>
      <c r="E56" s="583" t="e">
        <f>'[1].'!BT12</f>
        <v>#REF!</v>
      </c>
      <c r="F56" s="583"/>
      <c r="G56" s="258" t="s">
        <v>240</v>
      </c>
      <c r="H56" s="259">
        <f>SUM(DATA!P19:P27)</f>
        <v>0</v>
      </c>
      <c r="I56" s="245"/>
      <c r="J56" s="260"/>
      <c r="K56" s="222"/>
      <c r="L56" s="223"/>
      <c r="M56" s="261"/>
      <c r="N56" s="80"/>
    </row>
    <row r="57" spans="2:14" ht="13.5" customHeight="1">
      <c r="B57" s="215"/>
      <c r="C57" s="224" t="s">
        <v>244</v>
      </c>
      <c r="D57" s="148"/>
      <c r="E57" s="583" t="e">
        <f>'[1].'!BT13</f>
        <v>#REF!</v>
      </c>
      <c r="F57" s="583"/>
      <c r="G57" s="258" t="s">
        <v>240</v>
      </c>
      <c r="H57" s="259">
        <f>DATA!P28</f>
        <v>0</v>
      </c>
      <c r="I57" s="245"/>
      <c r="J57" s="260"/>
      <c r="K57" s="222"/>
      <c r="L57" s="223"/>
      <c r="M57" s="261"/>
      <c r="N57" s="80"/>
    </row>
    <row r="58" spans="2:14" ht="13.5" customHeight="1">
      <c r="B58" s="215"/>
      <c r="C58" s="224" t="s">
        <v>245</v>
      </c>
      <c r="D58" s="148"/>
      <c r="E58" s="583" t="e">
        <f>'[1].'!BT14</f>
        <v>#REF!</v>
      </c>
      <c r="F58" s="583"/>
      <c r="G58" s="258" t="s">
        <v>240</v>
      </c>
      <c r="H58" s="259">
        <f>DATA!P29</f>
        <v>0</v>
      </c>
      <c r="I58" s="245"/>
      <c r="J58" s="260"/>
      <c r="K58" s="222"/>
      <c r="L58" s="223"/>
      <c r="M58" s="261"/>
      <c r="N58" s="80"/>
    </row>
    <row r="59" spans="2:14" ht="13.5" customHeight="1">
      <c r="B59" s="215"/>
      <c r="C59" s="224"/>
      <c r="D59" s="589" t="s">
        <v>306</v>
      </c>
      <c r="E59" s="589"/>
      <c r="F59" s="589"/>
      <c r="G59" s="589"/>
      <c r="H59" s="262">
        <f>SUM(H56:H58)</f>
        <v>0</v>
      </c>
      <c r="I59" s="245"/>
      <c r="J59" s="260"/>
      <c r="K59" s="222"/>
      <c r="L59" s="223"/>
      <c r="M59" s="261"/>
      <c r="N59" s="80"/>
    </row>
    <row r="60" spans="2:14" ht="15" customHeight="1">
      <c r="B60" s="263">
        <v>20</v>
      </c>
      <c r="C60" s="590" t="s">
        <v>307</v>
      </c>
      <c r="D60" s="591"/>
      <c r="E60" s="591"/>
      <c r="F60" s="591"/>
      <c r="G60" s="591"/>
      <c r="H60" s="591"/>
      <c r="I60" s="264"/>
      <c r="J60" s="265" t="s">
        <v>240</v>
      </c>
      <c r="K60" s="266"/>
      <c r="L60" s="267"/>
      <c r="M60" s="268">
        <f>M54-H59</f>
        <v>0</v>
      </c>
      <c r="N60" s="80"/>
    </row>
    <row r="61" spans="2:14" ht="12" customHeight="1">
      <c r="B61" s="90"/>
      <c r="C61" s="82"/>
      <c r="D61" s="82"/>
      <c r="E61" s="82"/>
      <c r="F61" s="82"/>
      <c r="G61" s="82"/>
      <c r="H61" s="82"/>
      <c r="I61" s="82"/>
      <c r="J61" s="79"/>
      <c r="K61" s="79"/>
      <c r="L61" s="91"/>
      <c r="M61" s="92"/>
      <c r="N61" s="80"/>
    </row>
    <row r="62" spans="2:14" s="73" customFormat="1" ht="15">
      <c r="B62" s="93"/>
      <c r="C62" s="88"/>
      <c r="D62" s="88"/>
      <c r="E62" s="88"/>
      <c r="F62" s="88"/>
      <c r="G62" s="88"/>
      <c r="H62" s="88"/>
      <c r="I62" s="82"/>
      <c r="J62" s="79"/>
      <c r="K62" s="79"/>
      <c r="L62" s="79"/>
      <c r="M62" s="94"/>
      <c r="N62" s="95"/>
    </row>
    <row r="63" spans="2:14" s="73" customFormat="1" ht="15">
      <c r="B63" s="584" t="s">
        <v>279</v>
      </c>
      <c r="C63" s="585"/>
      <c r="D63" s="585"/>
      <c r="E63" s="585"/>
      <c r="F63" s="585"/>
      <c r="G63" s="585"/>
      <c r="H63" s="585"/>
      <c r="I63" s="82"/>
      <c r="J63" s="586" t="s">
        <v>280</v>
      </c>
      <c r="K63" s="586"/>
      <c r="L63" s="586"/>
      <c r="M63" s="587"/>
      <c r="N63" s="95"/>
    </row>
    <row r="64" spans="2:14" s="73" customFormat="1" ht="6" customHeight="1">
      <c r="B64" s="93" t="s">
        <v>308</v>
      </c>
      <c r="C64" s="84"/>
      <c r="D64" s="84"/>
      <c r="E64" s="84"/>
      <c r="F64" s="84"/>
      <c r="G64" s="84"/>
      <c r="H64" s="84"/>
      <c r="I64" s="82"/>
      <c r="J64" s="79"/>
      <c r="K64" s="79"/>
      <c r="L64" s="91"/>
      <c r="M64" s="92"/>
      <c r="N64" s="80"/>
    </row>
    <row r="65" spans="2:14" s="73" customFormat="1" ht="3" customHeight="1">
      <c r="B65" s="213"/>
      <c r="C65" s="96"/>
      <c r="D65" s="96"/>
      <c r="E65" s="96"/>
      <c r="F65" s="96"/>
      <c r="G65" s="96"/>
      <c r="H65" s="96"/>
      <c r="I65" s="97"/>
      <c r="J65" s="98"/>
      <c r="K65" s="98"/>
      <c r="L65" s="99"/>
      <c r="M65" s="100"/>
      <c r="N65" s="80"/>
    </row>
    <row r="66" spans="2:14" s="73" customFormat="1" ht="14.25" customHeight="1">
      <c r="B66" s="88" t="s">
        <v>579</v>
      </c>
      <c r="J66" s="101"/>
      <c r="K66" s="101"/>
      <c r="L66" s="91"/>
      <c r="M66" s="91"/>
      <c r="N66" s="80"/>
    </row>
    <row r="67" spans="10:14" s="73" customFormat="1" ht="15">
      <c r="J67" s="101"/>
      <c r="K67" s="101"/>
      <c r="L67" s="91"/>
      <c r="M67" s="91"/>
      <c r="N67" s="102"/>
    </row>
    <row r="68" spans="2:14" s="73" customFormat="1" ht="16.5">
      <c r="B68" s="85"/>
      <c r="C68" s="85"/>
      <c r="D68" s="85"/>
      <c r="E68" s="85"/>
      <c r="F68" s="85"/>
      <c r="G68" s="85"/>
      <c r="H68" s="85"/>
      <c r="I68" s="85"/>
      <c r="J68" s="101"/>
      <c r="K68" s="101"/>
      <c r="L68" s="91"/>
      <c r="M68" s="103"/>
      <c r="N68" s="102"/>
    </row>
    <row r="69" spans="2:14" s="73" customFormat="1" ht="16.5">
      <c r="B69" s="85"/>
      <c r="C69" s="85"/>
      <c r="D69" s="85"/>
      <c r="E69" s="85"/>
      <c r="F69" s="85"/>
      <c r="G69" s="85"/>
      <c r="H69" s="85"/>
      <c r="I69" s="85"/>
      <c r="J69" s="101"/>
      <c r="K69" s="101"/>
      <c r="L69" s="91"/>
      <c r="M69" s="103"/>
      <c r="N69" s="104"/>
    </row>
    <row r="70" spans="2:14" s="73" customFormat="1" ht="16.5">
      <c r="B70" s="85"/>
      <c r="C70" s="85"/>
      <c r="D70" s="85"/>
      <c r="E70" s="85"/>
      <c r="F70" s="85"/>
      <c r="G70" s="85"/>
      <c r="H70" s="85"/>
      <c r="I70" s="85"/>
      <c r="J70" s="101"/>
      <c r="K70" s="101"/>
      <c r="L70" s="91"/>
      <c r="M70" s="103"/>
      <c r="N70" s="104"/>
    </row>
    <row r="71" spans="2:14" s="73" customFormat="1" ht="16.5">
      <c r="B71" s="85"/>
      <c r="C71" s="85"/>
      <c r="D71" s="85"/>
      <c r="E71" s="85"/>
      <c r="F71" s="85"/>
      <c r="G71" s="85"/>
      <c r="H71" s="85"/>
      <c r="I71" s="85"/>
      <c r="J71" s="101"/>
      <c r="K71" s="101"/>
      <c r="L71" s="101"/>
      <c r="M71" s="105"/>
      <c r="N71" s="104"/>
    </row>
    <row r="72" spans="2:14" s="73" customFormat="1" ht="16.5">
      <c r="B72" s="85"/>
      <c r="C72" s="85"/>
      <c r="D72" s="85"/>
      <c r="E72" s="85"/>
      <c r="F72" s="85"/>
      <c r="G72" s="85"/>
      <c r="H72" s="85"/>
      <c r="I72" s="85"/>
      <c r="J72" s="101"/>
      <c r="K72" s="101"/>
      <c r="L72" s="101"/>
      <c r="M72" s="105"/>
      <c r="N72" s="85"/>
    </row>
    <row r="73" spans="2:14" s="73" customFormat="1" ht="16.5">
      <c r="B73" s="85"/>
      <c r="C73" s="85"/>
      <c r="D73" s="85"/>
      <c r="E73" s="85"/>
      <c r="F73" s="85"/>
      <c r="G73" s="85"/>
      <c r="H73" s="85"/>
      <c r="I73" s="85"/>
      <c r="J73" s="101"/>
      <c r="K73" s="101"/>
      <c r="L73" s="101"/>
      <c r="M73" s="105"/>
      <c r="N73" s="85"/>
    </row>
    <row r="74" spans="10:14" s="73" customFormat="1" ht="16.5">
      <c r="J74" s="101"/>
      <c r="K74" s="101"/>
      <c r="L74" s="101"/>
      <c r="M74" s="101"/>
      <c r="N74" s="85"/>
    </row>
    <row r="75" spans="10:13" s="73" customFormat="1" ht="15">
      <c r="J75" s="101"/>
      <c r="K75" s="101"/>
      <c r="L75" s="101"/>
      <c r="M75" s="101"/>
    </row>
    <row r="76" spans="10:13" s="73" customFormat="1" ht="15">
      <c r="J76" s="101"/>
      <c r="K76" s="101"/>
      <c r="L76" s="101"/>
      <c r="M76" s="101"/>
    </row>
    <row r="77" spans="10:13" s="73" customFormat="1" ht="15">
      <c r="J77" s="101"/>
      <c r="K77" s="101"/>
      <c r="L77" s="101"/>
      <c r="M77" s="101"/>
    </row>
    <row r="78" spans="10:13" s="73" customFormat="1" ht="15">
      <c r="J78" s="101"/>
      <c r="K78" s="101"/>
      <c r="L78" s="101"/>
      <c r="M78" s="101"/>
    </row>
    <row r="79" spans="10:13" s="73" customFormat="1" ht="15">
      <c r="J79" s="101"/>
      <c r="K79" s="101"/>
      <c r="L79" s="101"/>
      <c r="M79" s="101"/>
    </row>
    <row r="80" spans="10:13" s="73" customFormat="1" ht="15">
      <c r="J80" s="101"/>
      <c r="K80" s="101"/>
      <c r="L80" s="101"/>
      <c r="M80" s="101"/>
    </row>
    <row r="81" spans="10:13" s="73" customFormat="1" ht="15">
      <c r="J81" s="101"/>
      <c r="K81" s="101"/>
      <c r="L81" s="101"/>
      <c r="M81" s="101"/>
    </row>
    <row r="82" spans="10:13" s="73" customFormat="1" ht="15">
      <c r="J82" s="101"/>
      <c r="K82" s="101"/>
      <c r="L82" s="101"/>
      <c r="M82" s="101"/>
    </row>
    <row r="83" spans="10:13" s="73" customFormat="1" ht="15">
      <c r="J83" s="101"/>
      <c r="K83" s="101"/>
      <c r="L83" s="101"/>
      <c r="M83" s="101"/>
    </row>
    <row r="84" spans="10:13" s="73" customFormat="1" ht="15">
      <c r="J84" s="101"/>
      <c r="K84" s="101"/>
      <c r="L84" s="101"/>
      <c r="M84" s="101"/>
    </row>
    <row r="85" spans="10:13" s="73" customFormat="1" ht="15">
      <c r="J85" s="101"/>
      <c r="K85" s="101"/>
      <c r="L85" s="101"/>
      <c r="M85" s="101"/>
    </row>
    <row r="86" spans="2:13" s="73" customFormat="1" ht="15">
      <c r="B86" s="71"/>
      <c r="C86" s="71"/>
      <c r="D86" s="71"/>
      <c r="E86" s="71"/>
      <c r="F86" s="71"/>
      <c r="G86" s="71"/>
      <c r="H86" s="71"/>
      <c r="I86" s="71"/>
      <c r="J86" s="72"/>
      <c r="K86" s="72"/>
      <c r="L86" s="72"/>
      <c r="M86" s="72"/>
    </row>
  </sheetData>
  <sheetProtection password="D7F0" sheet="1" objects="1" scenarios="1"/>
  <protectedRanges>
    <protectedRange sqref="B2:M60" name="Range1"/>
  </protectedRanges>
  <mergeCells count="64">
    <mergeCell ref="G2:L2"/>
    <mergeCell ref="B4:D4"/>
    <mergeCell ref="L4:M4"/>
    <mergeCell ref="B2:F2"/>
    <mergeCell ref="B3:M3"/>
    <mergeCell ref="L6:M6"/>
    <mergeCell ref="B5:D5"/>
    <mergeCell ref="L5:M5"/>
    <mergeCell ref="E4:H4"/>
    <mergeCell ref="I4:K4"/>
    <mergeCell ref="C45:I45"/>
    <mergeCell ref="C13:I13"/>
    <mergeCell ref="D14:I14"/>
    <mergeCell ref="D9:I9"/>
    <mergeCell ref="D10:I10"/>
    <mergeCell ref="D27:H27"/>
    <mergeCell ref="C20:I20"/>
    <mergeCell ref="C21:I21"/>
    <mergeCell ref="D22:H22"/>
    <mergeCell ref="D23:H23"/>
    <mergeCell ref="C17:I17"/>
    <mergeCell ref="C6:G6"/>
    <mergeCell ref="C7:I7"/>
    <mergeCell ref="C44:F44"/>
    <mergeCell ref="D24:H24"/>
    <mergeCell ref="D25:H25"/>
    <mergeCell ref="D26:H26"/>
    <mergeCell ref="D33:F33"/>
    <mergeCell ref="C46:I46"/>
    <mergeCell ref="D36:I36"/>
    <mergeCell ref="D37:I37"/>
    <mergeCell ref="D28:H28"/>
    <mergeCell ref="D29:I29"/>
    <mergeCell ref="C30:I30"/>
    <mergeCell ref="C31:I31"/>
    <mergeCell ref="D34:E34"/>
    <mergeCell ref="F43:H43"/>
    <mergeCell ref="C32:I32"/>
    <mergeCell ref="E5:H5"/>
    <mergeCell ref="I5:K5"/>
    <mergeCell ref="C18:I18"/>
    <mergeCell ref="C19:I19"/>
    <mergeCell ref="C12:I12"/>
    <mergeCell ref="H6:J6"/>
    <mergeCell ref="C8:I8"/>
    <mergeCell ref="D15:H15"/>
    <mergeCell ref="D11:I11"/>
    <mergeCell ref="C16:I16"/>
    <mergeCell ref="E56:F56"/>
    <mergeCell ref="E57:F57"/>
    <mergeCell ref="D48:H48"/>
    <mergeCell ref="D49:H49"/>
    <mergeCell ref="D50:H50"/>
    <mergeCell ref="C47:H47"/>
    <mergeCell ref="E58:F58"/>
    <mergeCell ref="B63:H63"/>
    <mergeCell ref="J63:M63"/>
    <mergeCell ref="D51:H51"/>
    <mergeCell ref="D59:G59"/>
    <mergeCell ref="C60:H60"/>
    <mergeCell ref="C52:H52"/>
    <mergeCell ref="C53:H53"/>
    <mergeCell ref="C54:H54"/>
    <mergeCell ref="C55:H55"/>
  </mergeCells>
  <printOptions horizontalCentered="1" verticalCentered="1"/>
  <pageMargins left="0.61" right="0.39" top="0.75" bottom="0.75" header="0.3" footer="0.3"/>
  <pageSetup horizontalDpi="180" verticalDpi="180" orientation="portrait" paperSize="9" scale="90" r:id="rId1"/>
</worksheet>
</file>

<file path=xl/worksheets/sheet5.xml><?xml version="1.0" encoding="utf-8"?>
<worksheet xmlns="http://schemas.openxmlformats.org/spreadsheetml/2006/main" xmlns:r="http://schemas.openxmlformats.org/officeDocument/2006/relationships">
  <dimension ref="B1:AD109"/>
  <sheetViews>
    <sheetView showGridLines="0" showRowColHeaders="0" zoomScalePageLayoutView="0" workbookViewId="0" topLeftCell="A16">
      <selection activeCell="E65" sqref="E65"/>
    </sheetView>
  </sheetViews>
  <sheetFormatPr defaultColWidth="9.140625" defaultRowHeight="13.5" customHeight="1"/>
  <cols>
    <col min="1" max="1" width="1.421875" style="71" customWidth="1"/>
    <col min="2" max="2" width="4.28125" style="71" customWidth="1"/>
    <col min="3" max="3" width="3.00390625" style="71" customWidth="1"/>
    <col min="4" max="4" width="15.7109375" style="71" customWidth="1"/>
    <col min="5" max="5" width="15.00390625" style="71" customWidth="1"/>
    <col min="6" max="6" width="2.8515625" style="71" customWidth="1"/>
    <col min="7" max="7" width="9.28125" style="71" customWidth="1"/>
    <col min="8" max="8" width="0.71875" style="71" customWidth="1"/>
    <col min="9" max="9" width="2.8515625" style="71" customWidth="1"/>
    <col min="10" max="10" width="10.00390625" style="71" customWidth="1"/>
    <col min="11" max="11" width="2.8515625" style="71" customWidth="1"/>
    <col min="12" max="12" width="10.00390625" style="71" customWidth="1"/>
    <col min="13" max="13" width="2.8515625" style="71" customWidth="1"/>
    <col min="14" max="14" width="10.7109375" style="71" customWidth="1"/>
    <col min="15" max="15" width="5.8515625" style="71" hidden="1" customWidth="1"/>
    <col min="16" max="24" width="10.7109375" style="71" hidden="1" customWidth="1"/>
    <col min="25" max="28" width="0" style="71" hidden="1" customWidth="1"/>
    <col min="29" max="29" width="36.28125" style="71" hidden="1" customWidth="1"/>
    <col min="30" max="234" width="0" style="71" hidden="1" customWidth="1"/>
    <col min="235" max="16384" width="9.140625" style="71" customWidth="1"/>
  </cols>
  <sheetData>
    <row r="1" spans="2:24" ht="36" customHeight="1">
      <c r="B1" s="661" t="s">
        <v>585</v>
      </c>
      <c r="C1" s="662"/>
      <c r="D1" s="662"/>
      <c r="E1" s="662"/>
      <c r="F1" s="662"/>
      <c r="G1" s="662"/>
      <c r="H1" s="662"/>
      <c r="I1" s="662"/>
      <c r="J1" s="662"/>
      <c r="K1" s="662"/>
      <c r="L1" s="662"/>
      <c r="M1" s="662"/>
      <c r="N1" s="663"/>
      <c r="O1" s="124"/>
      <c r="P1" s="124"/>
      <c r="Q1" s="124"/>
      <c r="R1" s="124"/>
      <c r="S1" s="124"/>
      <c r="T1" s="124"/>
      <c r="U1" s="124"/>
      <c r="V1" s="124"/>
      <c r="W1" s="124"/>
      <c r="X1" s="124"/>
    </row>
    <row r="2" spans="2:24" ht="11.25" customHeight="1">
      <c r="B2" s="664" t="s">
        <v>309</v>
      </c>
      <c r="C2" s="665"/>
      <c r="D2" s="665"/>
      <c r="E2" s="665"/>
      <c r="F2" s="665"/>
      <c r="G2" s="665"/>
      <c r="H2" s="665"/>
      <c r="I2" s="665"/>
      <c r="J2" s="665"/>
      <c r="K2" s="665"/>
      <c r="L2" s="665"/>
      <c r="M2" s="665"/>
      <c r="N2" s="666"/>
      <c r="O2" s="115"/>
      <c r="P2" s="115"/>
      <c r="Q2" s="115"/>
      <c r="R2" s="115"/>
      <c r="S2" s="115"/>
      <c r="T2" s="115"/>
      <c r="U2" s="115"/>
      <c r="V2" s="115"/>
      <c r="W2" s="115"/>
      <c r="X2" s="115"/>
    </row>
    <row r="3" spans="2:24" ht="16.5" customHeight="1">
      <c r="B3" s="664"/>
      <c r="C3" s="665"/>
      <c r="D3" s="665"/>
      <c r="E3" s="665"/>
      <c r="F3" s="665"/>
      <c r="G3" s="665"/>
      <c r="H3" s="665"/>
      <c r="I3" s="665"/>
      <c r="J3" s="665"/>
      <c r="K3" s="665"/>
      <c r="L3" s="665"/>
      <c r="M3" s="665"/>
      <c r="N3" s="666"/>
      <c r="O3" s="115"/>
      <c r="P3" s="115"/>
      <c r="Q3" s="115"/>
      <c r="R3" s="115"/>
      <c r="S3" s="115"/>
      <c r="T3" s="115"/>
      <c r="U3" s="115"/>
      <c r="V3" s="115"/>
      <c r="W3" s="115"/>
      <c r="X3" s="115"/>
    </row>
    <row r="4" spans="2:24" ht="15" customHeight="1">
      <c r="B4" s="667" t="s">
        <v>310</v>
      </c>
      <c r="C4" s="668"/>
      <c r="D4" s="668"/>
      <c r="E4" s="668"/>
      <c r="F4" s="668"/>
      <c r="G4" s="668"/>
      <c r="H4" s="668"/>
      <c r="I4" s="669" t="s">
        <v>311</v>
      </c>
      <c r="J4" s="668"/>
      <c r="K4" s="668"/>
      <c r="L4" s="668"/>
      <c r="M4" s="668"/>
      <c r="N4" s="670"/>
      <c r="O4" s="125"/>
      <c r="P4" s="125"/>
      <c r="Q4" s="125"/>
      <c r="R4" s="125"/>
      <c r="S4" s="125"/>
      <c r="T4" s="125"/>
      <c r="U4" s="125"/>
      <c r="V4" s="125"/>
      <c r="W4" s="125"/>
      <c r="X4" s="125"/>
    </row>
    <row r="5" spans="2:24" ht="3.75" customHeight="1">
      <c r="B5" s="269"/>
      <c r="C5" s="147"/>
      <c r="D5" s="147"/>
      <c r="E5" s="147"/>
      <c r="F5" s="147"/>
      <c r="G5" s="147"/>
      <c r="H5" s="147"/>
      <c r="I5" s="270"/>
      <c r="J5" s="147"/>
      <c r="K5" s="147"/>
      <c r="L5" s="147"/>
      <c r="M5" s="147"/>
      <c r="N5" s="271"/>
      <c r="O5" s="116"/>
      <c r="P5" s="116"/>
      <c r="Q5" s="116"/>
      <c r="R5" s="116"/>
      <c r="S5" s="116"/>
      <c r="T5" s="116"/>
      <c r="U5" s="116"/>
      <c r="V5" s="116"/>
      <c r="W5" s="116"/>
      <c r="X5" s="116"/>
    </row>
    <row r="6" spans="2:24" ht="13.5" customHeight="1">
      <c r="B6" s="673" t="str">
        <f>CONCATENATE(DATA!C26,",")</f>
        <v>R.Narasimharao,</v>
      </c>
      <c r="C6" s="674"/>
      <c r="D6" s="674"/>
      <c r="E6" s="674"/>
      <c r="F6" s="674"/>
      <c r="G6" s="674"/>
      <c r="H6" s="674"/>
      <c r="I6" s="599" t="str">
        <f>'Annexure -II'!E4</f>
        <v>D.Latha</v>
      </c>
      <c r="J6" s="600"/>
      <c r="K6" s="600"/>
      <c r="L6" s="600"/>
      <c r="M6" s="600"/>
      <c r="N6" s="675"/>
      <c r="O6" s="74"/>
      <c r="P6" s="74"/>
      <c r="Q6" s="74"/>
      <c r="R6" s="74"/>
      <c r="S6" s="74"/>
      <c r="T6" s="74"/>
      <c r="U6" s="74"/>
      <c r="V6" s="74"/>
      <c r="W6" s="74"/>
      <c r="X6" s="74"/>
    </row>
    <row r="7" spans="2:24" ht="13.5" customHeight="1">
      <c r="B7" s="673" t="str">
        <f>CONCATENATE(DATA!C27,",")</f>
        <v>Mandal Educational Officer,</v>
      </c>
      <c r="C7" s="674"/>
      <c r="D7" s="674"/>
      <c r="E7" s="674"/>
      <c r="F7" s="674"/>
      <c r="G7" s="674"/>
      <c r="H7" s="674"/>
      <c r="I7" s="599" t="str">
        <f>'Annexure -II'!E5</f>
        <v>SGT </v>
      </c>
      <c r="J7" s="600"/>
      <c r="K7" s="600"/>
      <c r="L7" s="600"/>
      <c r="M7" s="600"/>
      <c r="N7" s="675"/>
      <c r="O7" s="74"/>
      <c r="P7" s="74"/>
      <c r="Q7" s="74"/>
      <c r="R7" s="74"/>
      <c r="S7" s="74"/>
      <c r="T7" s="74"/>
      <c r="U7" s="74"/>
      <c r="V7" s="74"/>
      <c r="W7" s="74"/>
      <c r="X7" s="74"/>
    </row>
    <row r="8" spans="2:24" ht="13.5" customHeight="1">
      <c r="B8" s="673" t="str">
        <f>CONCATENATE("O/o ",DATA!I28,",")</f>
        <v>O/o Mandal Educational Office,</v>
      </c>
      <c r="C8" s="674"/>
      <c r="D8" s="674"/>
      <c r="E8" s="674"/>
      <c r="F8" s="674"/>
      <c r="G8" s="674"/>
      <c r="H8" s="694"/>
      <c r="I8" s="599" t="str">
        <f>'Annexure -II'!L4</f>
        <v>M.P.P.School.Enikepadu</v>
      </c>
      <c r="J8" s="600"/>
      <c r="K8" s="600"/>
      <c r="L8" s="600"/>
      <c r="M8" s="600"/>
      <c r="N8" s="675"/>
      <c r="O8" s="74"/>
      <c r="P8" s="74"/>
      <c r="Q8" s="74"/>
      <c r="R8" s="74"/>
      <c r="S8" s="74"/>
      <c r="T8" s="74"/>
      <c r="U8" s="74"/>
      <c r="V8" s="74"/>
      <c r="W8" s="74"/>
      <c r="X8" s="74"/>
    </row>
    <row r="9" spans="2:24" ht="13.5" customHeight="1">
      <c r="B9" s="673" t="str">
        <f>CONCATENATE("Mandal: ",DATA!L4)</f>
        <v>Mandal: vijayavada</v>
      </c>
      <c r="C9" s="674"/>
      <c r="D9" s="674"/>
      <c r="E9" s="674"/>
      <c r="F9" s="674"/>
      <c r="G9" s="674"/>
      <c r="H9" s="674"/>
      <c r="I9" s="599" t="str">
        <f>'Annexure -II'!L5</f>
        <v>vijayavada</v>
      </c>
      <c r="J9" s="600"/>
      <c r="K9" s="600"/>
      <c r="L9" s="600"/>
      <c r="M9" s="600"/>
      <c r="N9" s="675"/>
      <c r="O9" s="74"/>
      <c r="P9" s="74"/>
      <c r="Q9" s="74"/>
      <c r="R9" s="74"/>
      <c r="S9" s="74"/>
      <c r="T9" s="74"/>
      <c r="U9" s="74"/>
      <c r="V9" s="74"/>
      <c r="W9" s="74"/>
      <c r="X9" s="74"/>
    </row>
    <row r="10" spans="2:24" ht="3.75" customHeight="1">
      <c r="B10" s="681"/>
      <c r="C10" s="682"/>
      <c r="D10" s="682"/>
      <c r="E10" s="682"/>
      <c r="F10" s="682"/>
      <c r="G10" s="682"/>
      <c r="H10" s="683"/>
      <c r="I10" s="695"/>
      <c r="J10" s="682"/>
      <c r="K10" s="682"/>
      <c r="L10" s="682"/>
      <c r="M10" s="682"/>
      <c r="N10" s="696"/>
      <c r="O10" s="74"/>
      <c r="P10" s="74"/>
      <c r="Q10" s="74"/>
      <c r="R10" s="74"/>
      <c r="S10" s="74"/>
      <c r="T10" s="74"/>
      <c r="U10" s="74"/>
      <c r="V10" s="74"/>
      <c r="W10" s="74"/>
      <c r="X10" s="74"/>
    </row>
    <row r="11" spans="2:24" ht="13.5" customHeight="1">
      <c r="B11" s="697" t="s">
        <v>312</v>
      </c>
      <c r="C11" s="685"/>
      <c r="D11" s="698"/>
      <c r="E11" s="684">
        <f>DATA!C28</f>
        <v>0</v>
      </c>
      <c r="F11" s="685"/>
      <c r="G11" s="698"/>
      <c r="H11" s="272"/>
      <c r="I11" s="699" t="s">
        <v>313</v>
      </c>
      <c r="J11" s="700"/>
      <c r="K11" s="701"/>
      <c r="L11" s="684">
        <f>DATA!L14</f>
        <v>0</v>
      </c>
      <c r="M11" s="685"/>
      <c r="N11" s="686"/>
      <c r="O11" s="125"/>
      <c r="P11" s="125"/>
      <c r="Q11" s="125"/>
      <c r="R11" s="125"/>
      <c r="S11" s="125"/>
      <c r="T11" s="125"/>
      <c r="U11" s="125"/>
      <c r="V11" s="125"/>
      <c r="W11" s="125"/>
      <c r="X11" s="125"/>
    </row>
    <row r="12" spans="2:24" ht="26.25" customHeight="1">
      <c r="B12" s="690" t="s">
        <v>314</v>
      </c>
      <c r="C12" s="691"/>
      <c r="D12" s="691"/>
      <c r="E12" s="691"/>
      <c r="F12" s="691"/>
      <c r="G12" s="691"/>
      <c r="H12" s="692"/>
      <c r="I12" s="691"/>
      <c r="J12" s="691"/>
      <c r="K12" s="691"/>
      <c r="L12" s="691"/>
      <c r="M12" s="691"/>
      <c r="N12" s="693"/>
      <c r="O12" s="126"/>
      <c r="P12" s="126"/>
      <c r="Q12" s="126"/>
      <c r="R12" s="126"/>
      <c r="S12" s="126"/>
      <c r="T12" s="126"/>
      <c r="U12" s="126"/>
      <c r="V12" s="126"/>
      <c r="W12" s="126"/>
      <c r="X12" s="126"/>
    </row>
    <row r="13" spans="2:24" ht="14.25" customHeight="1">
      <c r="B13" s="676" t="s">
        <v>315</v>
      </c>
      <c r="C13" s="659"/>
      <c r="D13" s="659"/>
      <c r="E13" s="659" t="s">
        <v>316</v>
      </c>
      <c r="F13" s="659"/>
      <c r="G13" s="659"/>
      <c r="H13" s="659"/>
      <c r="I13" s="659" t="s">
        <v>317</v>
      </c>
      <c r="J13" s="659"/>
      <c r="K13" s="659"/>
      <c r="L13" s="660"/>
      <c r="M13" s="671" t="s">
        <v>318</v>
      </c>
      <c r="N13" s="672"/>
      <c r="O13" s="125"/>
      <c r="P13" s="125"/>
      <c r="Q13" s="125"/>
      <c r="R13" s="125"/>
      <c r="S13" s="125"/>
      <c r="T13" s="125"/>
      <c r="U13" s="125"/>
      <c r="V13" s="125"/>
      <c r="W13" s="125"/>
      <c r="X13" s="125"/>
    </row>
    <row r="14" spans="2:24" ht="14.25" customHeight="1">
      <c r="B14" s="676">
        <v>1</v>
      </c>
      <c r="C14" s="659"/>
      <c r="D14" s="659"/>
      <c r="E14" s="659"/>
      <c r="F14" s="659"/>
      <c r="G14" s="659"/>
      <c r="H14" s="659"/>
      <c r="I14" s="659" t="s">
        <v>319</v>
      </c>
      <c r="J14" s="659"/>
      <c r="K14" s="659" t="s">
        <v>320</v>
      </c>
      <c r="L14" s="660"/>
      <c r="M14" s="660" t="s">
        <v>321</v>
      </c>
      <c r="N14" s="677"/>
      <c r="O14" s="125"/>
      <c r="P14" s="125"/>
      <c r="Q14" s="125"/>
      <c r="R14" s="125"/>
      <c r="S14" s="125"/>
      <c r="T14" s="125"/>
      <c r="U14" s="125"/>
      <c r="V14" s="125"/>
      <c r="W14" s="125"/>
      <c r="X14" s="125"/>
    </row>
    <row r="15" spans="2:24" ht="14.25" customHeight="1">
      <c r="B15" s="646">
        <v>2</v>
      </c>
      <c r="C15" s="647"/>
      <c r="D15" s="647"/>
      <c r="E15" s="647"/>
      <c r="F15" s="647"/>
      <c r="G15" s="647"/>
      <c r="H15" s="647"/>
      <c r="I15" s="648" t="s">
        <v>548</v>
      </c>
      <c r="J15" s="649"/>
      <c r="K15" s="648" t="s">
        <v>547</v>
      </c>
      <c r="L15" s="654"/>
      <c r="M15" s="651" t="s">
        <v>235</v>
      </c>
      <c r="N15" s="657"/>
      <c r="O15" s="127"/>
      <c r="P15" s="127"/>
      <c r="Q15" s="127"/>
      <c r="R15" s="127"/>
      <c r="S15" s="127"/>
      <c r="T15" s="127"/>
      <c r="U15" s="127"/>
      <c r="V15" s="127"/>
      <c r="W15" s="127"/>
      <c r="X15" s="127"/>
    </row>
    <row r="16" spans="2:24" ht="14.25" customHeight="1">
      <c r="B16" s="646">
        <v>3</v>
      </c>
      <c r="C16" s="647"/>
      <c r="D16" s="647"/>
      <c r="E16" s="647"/>
      <c r="F16" s="647"/>
      <c r="G16" s="647"/>
      <c r="H16" s="647"/>
      <c r="I16" s="650"/>
      <c r="J16" s="651"/>
      <c r="K16" s="650"/>
      <c r="L16" s="655"/>
      <c r="M16" s="651"/>
      <c r="N16" s="657"/>
      <c r="O16" s="127"/>
      <c r="P16" s="127"/>
      <c r="Q16" s="127"/>
      <c r="R16" s="127"/>
      <c r="S16" s="127"/>
      <c r="T16" s="127"/>
      <c r="U16" s="127"/>
      <c r="V16" s="127"/>
      <c r="W16" s="127"/>
      <c r="X16" s="127"/>
    </row>
    <row r="17" spans="2:24" ht="14.25" customHeight="1">
      <c r="B17" s="646">
        <v>4</v>
      </c>
      <c r="C17" s="647"/>
      <c r="D17" s="647"/>
      <c r="E17" s="647"/>
      <c r="F17" s="647"/>
      <c r="G17" s="647"/>
      <c r="H17" s="647"/>
      <c r="I17" s="652"/>
      <c r="J17" s="653"/>
      <c r="K17" s="652"/>
      <c r="L17" s="656"/>
      <c r="M17" s="653"/>
      <c r="N17" s="658"/>
      <c r="O17" s="127"/>
      <c r="P17" s="127"/>
      <c r="Q17" s="127"/>
      <c r="R17" s="127"/>
      <c r="S17" s="127"/>
      <c r="T17" s="127"/>
      <c r="U17" s="127"/>
      <c r="V17" s="127"/>
      <c r="W17" s="127"/>
      <c r="X17" s="127"/>
    </row>
    <row r="18" spans="2:26" ht="15" customHeight="1">
      <c r="B18" s="643" t="s">
        <v>322</v>
      </c>
      <c r="C18" s="644"/>
      <c r="D18" s="644"/>
      <c r="E18" s="644"/>
      <c r="F18" s="644"/>
      <c r="G18" s="644"/>
      <c r="H18" s="644"/>
      <c r="I18" s="644"/>
      <c r="J18" s="644"/>
      <c r="K18" s="644"/>
      <c r="L18" s="644"/>
      <c r="M18" s="644"/>
      <c r="N18" s="645"/>
      <c r="O18" s="117"/>
      <c r="P18" s="117"/>
      <c r="Q18" s="117"/>
      <c r="R18" s="117"/>
      <c r="S18" s="117"/>
      <c r="T18" s="117"/>
      <c r="U18" s="117"/>
      <c r="V18" s="117"/>
      <c r="W18" s="117"/>
      <c r="X18" s="117"/>
      <c r="Y18" s="128"/>
      <c r="Z18" s="128"/>
    </row>
    <row r="19" spans="2:24" ht="3.75" customHeight="1">
      <c r="B19" s="687"/>
      <c r="C19" s="688"/>
      <c r="D19" s="688"/>
      <c r="E19" s="688"/>
      <c r="F19" s="688"/>
      <c r="G19" s="688"/>
      <c r="H19" s="688"/>
      <c r="I19" s="688"/>
      <c r="J19" s="688"/>
      <c r="K19" s="688"/>
      <c r="L19" s="688"/>
      <c r="M19" s="688"/>
      <c r="N19" s="689"/>
      <c r="O19" s="77"/>
      <c r="P19" s="77"/>
      <c r="Q19" s="77"/>
      <c r="R19" s="77"/>
      <c r="S19" s="77"/>
      <c r="T19" s="77"/>
      <c r="U19" s="77"/>
      <c r="V19" s="77"/>
      <c r="W19" s="77"/>
      <c r="X19" s="77"/>
    </row>
    <row r="20" spans="2:24" ht="12.75" customHeight="1">
      <c r="B20" s="273">
        <v>1</v>
      </c>
      <c r="C20" s="640" t="s">
        <v>323</v>
      </c>
      <c r="D20" s="641"/>
      <c r="E20" s="276"/>
      <c r="F20" s="276"/>
      <c r="G20" s="276"/>
      <c r="H20" s="276"/>
      <c r="I20" s="277" t="s">
        <v>240</v>
      </c>
      <c r="J20" s="278">
        <f>'Annexure -II'!M7</f>
        <v>301042</v>
      </c>
      <c r="K20" s="279"/>
      <c r="L20" s="280"/>
      <c r="M20" s="279"/>
      <c r="N20" s="281"/>
      <c r="O20" s="119"/>
      <c r="P20" s="119"/>
      <c r="Q20" s="119"/>
      <c r="R20" s="119"/>
      <c r="S20" s="119"/>
      <c r="T20" s="119"/>
      <c r="U20" s="119"/>
      <c r="V20" s="119"/>
      <c r="W20" s="119"/>
      <c r="X20" s="119"/>
    </row>
    <row r="21" spans="2:24" ht="15" customHeight="1">
      <c r="B21" s="273"/>
      <c r="C21" s="282" t="s">
        <v>242</v>
      </c>
      <c r="D21" s="625" t="s">
        <v>324</v>
      </c>
      <c r="E21" s="625"/>
      <c r="F21" s="625"/>
      <c r="G21" s="625"/>
      <c r="H21" s="625"/>
      <c r="I21" s="284" t="s">
        <v>240</v>
      </c>
      <c r="J21" s="285">
        <v>0</v>
      </c>
      <c r="K21" s="279"/>
      <c r="L21" s="280"/>
      <c r="M21" s="279"/>
      <c r="N21" s="281"/>
      <c r="O21" s="119"/>
      <c r="P21" s="119"/>
      <c r="Q21" s="119"/>
      <c r="R21" s="119"/>
      <c r="S21" s="119"/>
      <c r="T21" s="119"/>
      <c r="U21" s="119"/>
      <c r="V21" s="119"/>
      <c r="W21" s="119"/>
      <c r="X21" s="119"/>
    </row>
    <row r="22" spans="2:24" ht="15" customHeight="1">
      <c r="B22" s="273"/>
      <c r="C22" s="282" t="s">
        <v>244</v>
      </c>
      <c r="D22" s="625" t="s">
        <v>325</v>
      </c>
      <c r="E22" s="625"/>
      <c r="F22" s="625"/>
      <c r="G22" s="625"/>
      <c r="H22" s="625"/>
      <c r="I22" s="284" t="s">
        <v>240</v>
      </c>
      <c r="J22" s="285">
        <v>0</v>
      </c>
      <c r="K22" s="279"/>
      <c r="L22" s="280"/>
      <c r="M22" s="279"/>
      <c r="N22" s="281"/>
      <c r="O22" s="119"/>
      <c r="P22" s="119"/>
      <c r="Q22" s="119"/>
      <c r="R22" s="119"/>
      <c r="S22" s="119"/>
      <c r="T22" s="119"/>
      <c r="U22" s="119"/>
      <c r="V22" s="119"/>
      <c r="W22" s="119"/>
      <c r="X22" s="119"/>
    </row>
    <row r="23" spans="2:24" ht="15" customHeight="1">
      <c r="B23" s="273"/>
      <c r="C23" s="282"/>
      <c r="D23" s="625" t="s">
        <v>326</v>
      </c>
      <c r="E23" s="625"/>
      <c r="F23" s="625"/>
      <c r="G23" s="625"/>
      <c r="H23" s="625"/>
      <c r="I23" s="286"/>
      <c r="J23" s="287"/>
      <c r="K23" s="279"/>
      <c r="L23" s="280"/>
      <c r="M23" s="279"/>
      <c r="N23" s="281"/>
      <c r="O23" s="119"/>
      <c r="P23" s="119"/>
      <c r="Q23" s="119"/>
      <c r="R23" s="119"/>
      <c r="S23" s="119"/>
      <c r="T23" s="119"/>
      <c r="U23" s="119"/>
      <c r="V23" s="119"/>
      <c r="W23" s="119"/>
      <c r="X23" s="119"/>
    </row>
    <row r="24" spans="2:30" ht="15" customHeight="1">
      <c r="B24" s="273"/>
      <c r="C24" s="282" t="s">
        <v>245</v>
      </c>
      <c r="D24" s="625" t="s">
        <v>327</v>
      </c>
      <c r="E24" s="625"/>
      <c r="F24" s="625"/>
      <c r="G24" s="625"/>
      <c r="H24" s="625"/>
      <c r="I24" s="277" t="s">
        <v>240</v>
      </c>
      <c r="J24" s="278">
        <v>0</v>
      </c>
      <c r="K24" s="279"/>
      <c r="L24" s="280"/>
      <c r="M24" s="279"/>
      <c r="N24" s="281"/>
      <c r="O24" s="119"/>
      <c r="P24" s="119"/>
      <c r="Q24" s="119"/>
      <c r="R24" s="119"/>
      <c r="S24" s="119"/>
      <c r="T24" s="119"/>
      <c r="U24" s="119"/>
      <c r="V24" s="119"/>
      <c r="W24" s="119"/>
      <c r="X24" s="119"/>
      <c r="AC24" s="129" t="s">
        <v>371</v>
      </c>
      <c r="AD24" s="89">
        <v>100000</v>
      </c>
    </row>
    <row r="25" spans="2:30" ht="15" customHeight="1">
      <c r="B25" s="273"/>
      <c r="C25" s="282"/>
      <c r="D25" s="625" t="s">
        <v>328</v>
      </c>
      <c r="E25" s="625"/>
      <c r="F25" s="625"/>
      <c r="G25" s="625"/>
      <c r="H25" s="625"/>
      <c r="I25" s="288"/>
      <c r="J25" s="289"/>
      <c r="K25" s="279"/>
      <c r="L25" s="280"/>
      <c r="M25" s="279"/>
      <c r="N25" s="281"/>
      <c r="O25" s="119"/>
      <c r="P25" s="119"/>
      <c r="Q25" s="119"/>
      <c r="R25" s="119"/>
      <c r="S25" s="119"/>
      <c r="T25" s="119"/>
      <c r="U25" s="119"/>
      <c r="V25" s="119"/>
      <c r="W25" s="119"/>
      <c r="X25" s="119"/>
      <c r="AC25" s="129" t="s">
        <v>214</v>
      </c>
      <c r="AD25" s="89">
        <v>100000</v>
      </c>
    </row>
    <row r="26" spans="2:30" ht="15" customHeight="1">
      <c r="B26" s="273"/>
      <c r="C26" s="282" t="s">
        <v>257</v>
      </c>
      <c r="D26" s="290" t="s">
        <v>186</v>
      </c>
      <c r="E26" s="276"/>
      <c r="F26" s="276"/>
      <c r="G26" s="276"/>
      <c r="H26" s="276"/>
      <c r="I26" s="291" t="s">
        <v>240</v>
      </c>
      <c r="J26" s="292">
        <f>J20+J21+J22+J24</f>
        <v>301042</v>
      </c>
      <c r="K26" s="279"/>
      <c r="L26" s="280"/>
      <c r="M26" s="279" t="s">
        <v>240</v>
      </c>
      <c r="N26" s="293">
        <f>J26</f>
        <v>301042</v>
      </c>
      <c r="O26" s="121"/>
      <c r="P26" s="121"/>
      <c r="Q26" s="121"/>
      <c r="R26" s="121"/>
      <c r="S26" s="121"/>
      <c r="T26" s="121"/>
      <c r="U26" s="121"/>
      <c r="V26" s="121"/>
      <c r="W26" s="121"/>
      <c r="X26" s="121"/>
      <c r="AC26" s="129" t="s">
        <v>372</v>
      </c>
      <c r="AD26" s="89">
        <v>100000</v>
      </c>
    </row>
    <row r="27" spans="2:30" ht="15" customHeight="1">
      <c r="B27" s="273">
        <v>2</v>
      </c>
      <c r="C27" s="624" t="s">
        <v>329</v>
      </c>
      <c r="D27" s="625"/>
      <c r="E27" s="625"/>
      <c r="F27" s="625"/>
      <c r="G27" s="625"/>
      <c r="H27" s="625"/>
      <c r="I27" s="291"/>
      <c r="J27" s="294"/>
      <c r="K27" s="295"/>
      <c r="L27" s="280"/>
      <c r="M27" s="279"/>
      <c r="N27" s="281"/>
      <c r="O27" s="119"/>
      <c r="P27" s="119"/>
      <c r="Q27" s="119"/>
      <c r="R27" s="119"/>
      <c r="S27" s="119"/>
      <c r="T27" s="119"/>
      <c r="U27" s="119"/>
      <c r="V27" s="119"/>
      <c r="W27" s="119"/>
      <c r="X27" s="119"/>
      <c r="AC27" s="130" t="s">
        <v>373</v>
      </c>
      <c r="AD27" s="89">
        <v>100000</v>
      </c>
    </row>
    <row r="28" spans="2:30" ht="15" customHeight="1">
      <c r="B28" s="273"/>
      <c r="C28" s="282" t="s">
        <v>242</v>
      </c>
      <c r="D28" s="283" t="s">
        <v>330</v>
      </c>
      <c r="E28" s="283"/>
      <c r="F28" s="148"/>
      <c r="G28" s="148"/>
      <c r="H28" s="296"/>
      <c r="I28" s="297" t="s">
        <v>240</v>
      </c>
      <c r="J28" s="298">
        <f>'Annexure -II'!M11</f>
        <v>34037</v>
      </c>
      <c r="K28" s="295"/>
      <c r="L28" s="280"/>
      <c r="M28" s="279"/>
      <c r="N28" s="281"/>
      <c r="O28" s="119"/>
      <c r="P28" s="119"/>
      <c r="Q28" s="119"/>
      <c r="R28" s="119"/>
      <c r="S28" s="119"/>
      <c r="T28" s="119"/>
      <c r="U28" s="119"/>
      <c r="V28" s="119"/>
      <c r="W28" s="119"/>
      <c r="X28" s="119"/>
      <c r="AC28" s="129" t="s">
        <v>217</v>
      </c>
      <c r="AD28" s="89">
        <v>100000</v>
      </c>
    </row>
    <row r="29" spans="2:30" ht="15" customHeight="1">
      <c r="B29" s="273"/>
      <c r="C29" s="282" t="s">
        <v>244</v>
      </c>
      <c r="D29" s="625" t="s">
        <v>331</v>
      </c>
      <c r="E29" s="625"/>
      <c r="F29" s="283"/>
      <c r="G29" s="148"/>
      <c r="H29" s="296"/>
      <c r="I29" s="297" t="s">
        <v>240</v>
      </c>
      <c r="J29" s="298">
        <f>'Annexure -II'!L14</f>
        <v>0</v>
      </c>
      <c r="K29" s="295"/>
      <c r="L29" s="280"/>
      <c r="M29" s="299" t="s">
        <v>240</v>
      </c>
      <c r="N29" s="300">
        <f>J28+J29</f>
        <v>34037</v>
      </c>
      <c r="O29" s="119"/>
      <c r="P29" s="119"/>
      <c r="Q29" s="119"/>
      <c r="R29" s="119"/>
      <c r="S29" s="119"/>
      <c r="T29" s="119"/>
      <c r="U29" s="119"/>
      <c r="V29" s="119"/>
      <c r="W29" s="119"/>
      <c r="X29" s="119"/>
      <c r="AC29" s="129" t="s">
        <v>218</v>
      </c>
      <c r="AD29" s="89">
        <v>100000</v>
      </c>
    </row>
    <row r="30" spans="2:30" ht="15" customHeight="1">
      <c r="B30" s="273">
        <v>3</v>
      </c>
      <c r="C30" s="640" t="s">
        <v>332</v>
      </c>
      <c r="D30" s="641"/>
      <c r="E30" s="641"/>
      <c r="F30" s="641"/>
      <c r="G30" s="641"/>
      <c r="H30" s="642"/>
      <c r="I30" s="276"/>
      <c r="J30" s="294"/>
      <c r="K30" s="295"/>
      <c r="L30" s="280"/>
      <c r="M30" s="279" t="s">
        <v>240</v>
      </c>
      <c r="N30" s="293">
        <f>N26-N29</f>
        <v>267005</v>
      </c>
      <c r="O30" s="121"/>
      <c r="P30" s="121"/>
      <c r="Q30" s="121"/>
      <c r="R30" s="121"/>
      <c r="S30" s="121"/>
      <c r="T30" s="121"/>
      <c r="U30" s="121"/>
      <c r="V30" s="121"/>
      <c r="W30" s="121"/>
      <c r="X30" s="121"/>
      <c r="AC30" s="129" t="s">
        <v>219</v>
      </c>
      <c r="AD30" s="89">
        <v>100000</v>
      </c>
    </row>
    <row r="31" spans="2:30" ht="15" customHeight="1">
      <c r="B31" s="273">
        <v>4</v>
      </c>
      <c r="C31" s="640" t="s">
        <v>256</v>
      </c>
      <c r="D31" s="641"/>
      <c r="E31" s="641"/>
      <c r="F31" s="641"/>
      <c r="G31" s="641"/>
      <c r="H31" s="642"/>
      <c r="I31" s="276"/>
      <c r="J31" s="294"/>
      <c r="K31" s="295"/>
      <c r="L31" s="280"/>
      <c r="M31" s="279"/>
      <c r="N31" s="281"/>
      <c r="O31" s="119"/>
      <c r="P31" s="119"/>
      <c r="Q31" s="119"/>
      <c r="R31" s="119"/>
      <c r="S31" s="119"/>
      <c r="T31" s="119"/>
      <c r="U31" s="119"/>
      <c r="V31" s="119"/>
      <c r="W31" s="119"/>
      <c r="X31" s="119"/>
      <c r="AC31" s="129" t="s">
        <v>220</v>
      </c>
      <c r="AD31" s="89">
        <v>100000</v>
      </c>
    </row>
    <row r="32" spans="2:30" ht="12.75" customHeight="1">
      <c r="B32" s="273"/>
      <c r="C32" s="282" t="s">
        <v>242</v>
      </c>
      <c r="D32" s="283" t="s">
        <v>333</v>
      </c>
      <c r="E32" s="283"/>
      <c r="F32" s="148"/>
      <c r="G32" s="148"/>
      <c r="H32" s="301"/>
      <c r="I32" s="297" t="s">
        <v>240</v>
      </c>
      <c r="J32" s="298">
        <v>0</v>
      </c>
      <c r="K32" s="295"/>
      <c r="L32" s="280"/>
      <c r="M32" s="279"/>
      <c r="N32" s="281"/>
      <c r="O32" s="119"/>
      <c r="P32" s="119"/>
      <c r="Q32" s="119"/>
      <c r="R32" s="119"/>
      <c r="S32" s="119"/>
      <c r="T32" s="119"/>
      <c r="U32" s="119"/>
      <c r="V32" s="119"/>
      <c r="W32" s="119"/>
      <c r="X32" s="119"/>
      <c r="AC32" s="129" t="s">
        <v>221</v>
      </c>
      <c r="AD32" s="89">
        <v>100000</v>
      </c>
    </row>
    <row r="33" spans="2:30" ht="12.75" customHeight="1">
      <c r="B33" s="273"/>
      <c r="C33" s="282" t="s">
        <v>244</v>
      </c>
      <c r="D33" s="283" t="s">
        <v>334</v>
      </c>
      <c r="E33" s="283"/>
      <c r="F33" s="276"/>
      <c r="G33" s="148"/>
      <c r="H33" s="301"/>
      <c r="I33" s="297" t="s">
        <v>240</v>
      </c>
      <c r="J33" s="298">
        <f>'Annexure -II'!L15</f>
        <v>2450</v>
      </c>
      <c r="K33" s="295"/>
      <c r="L33" s="280"/>
      <c r="M33" s="279"/>
      <c r="N33" s="281"/>
      <c r="O33" s="119"/>
      <c r="P33" s="119"/>
      <c r="Q33" s="119"/>
      <c r="R33" s="119"/>
      <c r="S33" s="119"/>
      <c r="T33" s="119"/>
      <c r="U33" s="119"/>
      <c r="V33" s="119"/>
      <c r="W33" s="119"/>
      <c r="X33" s="119"/>
      <c r="AC33" s="129" t="s">
        <v>374</v>
      </c>
      <c r="AD33" s="89">
        <v>100000</v>
      </c>
    </row>
    <row r="34" spans="2:30" ht="15" customHeight="1">
      <c r="B34" s="273">
        <v>5</v>
      </c>
      <c r="C34" s="640" t="s">
        <v>335</v>
      </c>
      <c r="D34" s="641"/>
      <c r="E34" s="641"/>
      <c r="F34" s="641"/>
      <c r="G34" s="641"/>
      <c r="H34" s="641"/>
      <c r="I34" s="291"/>
      <c r="J34" s="292"/>
      <c r="K34" s="279"/>
      <c r="L34" s="280"/>
      <c r="M34" s="299" t="s">
        <v>240</v>
      </c>
      <c r="N34" s="300">
        <f>J32+J33</f>
        <v>2450</v>
      </c>
      <c r="O34" s="119"/>
      <c r="P34" s="119"/>
      <c r="Q34" s="119"/>
      <c r="R34" s="119"/>
      <c r="S34" s="119"/>
      <c r="T34" s="119"/>
      <c r="U34" s="119"/>
      <c r="V34" s="119"/>
      <c r="W34" s="119"/>
      <c r="X34" s="119"/>
      <c r="AC34" s="129" t="s">
        <v>222</v>
      </c>
      <c r="AD34" s="89">
        <v>100000</v>
      </c>
    </row>
    <row r="35" spans="2:30" ht="15" customHeight="1">
      <c r="B35" s="273">
        <v>6</v>
      </c>
      <c r="C35" s="624" t="s">
        <v>336</v>
      </c>
      <c r="D35" s="625"/>
      <c r="E35" s="625"/>
      <c r="F35" s="625"/>
      <c r="G35" s="625"/>
      <c r="H35" s="625"/>
      <c r="I35" s="291"/>
      <c r="J35" s="292"/>
      <c r="K35" s="279"/>
      <c r="L35" s="280"/>
      <c r="M35" s="302" t="s">
        <v>240</v>
      </c>
      <c r="N35" s="303">
        <f>N30-N34</f>
        <v>264555</v>
      </c>
      <c r="O35" s="121"/>
      <c r="P35" s="121"/>
      <c r="Q35" s="121"/>
      <c r="R35" s="121"/>
      <c r="S35" s="121"/>
      <c r="T35" s="121"/>
      <c r="U35" s="121"/>
      <c r="V35" s="121"/>
      <c r="W35" s="121"/>
      <c r="X35" s="121"/>
      <c r="AC35" s="129" t="s">
        <v>225</v>
      </c>
      <c r="AD35" s="89">
        <v>10000</v>
      </c>
    </row>
    <row r="36" spans="2:24" ht="12.75" customHeight="1">
      <c r="B36" s="273">
        <v>7</v>
      </c>
      <c r="C36" s="624" t="s">
        <v>337</v>
      </c>
      <c r="D36" s="625"/>
      <c r="E36" s="625"/>
      <c r="F36" s="625"/>
      <c r="G36" s="625"/>
      <c r="H36" s="625"/>
      <c r="I36" s="291"/>
      <c r="J36" s="292"/>
      <c r="K36" s="279"/>
      <c r="L36" s="280"/>
      <c r="M36" s="304" t="s">
        <v>240</v>
      </c>
      <c r="N36" s="305">
        <v>0</v>
      </c>
      <c r="O36" s="119"/>
      <c r="P36" s="119"/>
      <c r="Q36" s="119"/>
      <c r="R36" s="119"/>
      <c r="S36" s="119"/>
      <c r="T36" s="119"/>
      <c r="U36" s="119"/>
      <c r="V36" s="119"/>
      <c r="W36" s="119"/>
      <c r="X36" s="119"/>
    </row>
    <row r="37" spans="2:24" ht="12.75" customHeight="1">
      <c r="B37" s="273"/>
      <c r="C37" s="624" t="s">
        <v>338</v>
      </c>
      <c r="D37" s="625"/>
      <c r="E37" s="625"/>
      <c r="F37" s="625"/>
      <c r="G37" s="625"/>
      <c r="H37" s="625"/>
      <c r="I37" s="291"/>
      <c r="J37" s="292"/>
      <c r="K37" s="279"/>
      <c r="L37" s="280"/>
      <c r="M37" s="304" t="s">
        <v>240</v>
      </c>
      <c r="N37" s="305">
        <v>0</v>
      </c>
      <c r="O37" s="119"/>
      <c r="P37" s="119"/>
      <c r="Q37" s="119"/>
      <c r="R37" s="119"/>
      <c r="S37" s="119"/>
      <c r="T37" s="119"/>
      <c r="U37" s="119"/>
      <c r="V37" s="119"/>
      <c r="W37" s="119"/>
      <c r="X37" s="119"/>
    </row>
    <row r="38" spans="2:24" ht="12.75" customHeight="1">
      <c r="B38" s="273"/>
      <c r="C38" s="624" t="s">
        <v>339</v>
      </c>
      <c r="D38" s="625"/>
      <c r="E38" s="625"/>
      <c r="F38" s="625"/>
      <c r="G38" s="625"/>
      <c r="H38" s="625"/>
      <c r="I38" s="291"/>
      <c r="J38" s="292"/>
      <c r="K38" s="279"/>
      <c r="L38" s="280"/>
      <c r="M38" s="306" t="s">
        <v>240</v>
      </c>
      <c r="N38" s="307">
        <v>0</v>
      </c>
      <c r="O38" s="119"/>
      <c r="P38" s="119"/>
      <c r="Q38" s="119"/>
      <c r="R38" s="119"/>
      <c r="S38" s="119"/>
      <c r="T38" s="119"/>
      <c r="U38" s="119"/>
      <c r="V38" s="119"/>
      <c r="W38" s="119"/>
      <c r="X38" s="119"/>
    </row>
    <row r="39" spans="2:24" ht="14.25" customHeight="1">
      <c r="B39" s="273">
        <v>8</v>
      </c>
      <c r="C39" s="640" t="s">
        <v>340</v>
      </c>
      <c r="D39" s="641"/>
      <c r="E39" s="641"/>
      <c r="F39" s="308"/>
      <c r="G39" s="308"/>
      <c r="H39" s="276"/>
      <c r="I39" s="291"/>
      <c r="J39" s="292"/>
      <c r="K39" s="279"/>
      <c r="L39" s="280"/>
      <c r="M39" s="279" t="s">
        <v>240</v>
      </c>
      <c r="N39" s="293">
        <f>N35+N36+N37-N38</f>
        <v>264555</v>
      </c>
      <c r="O39" s="121"/>
      <c r="P39" s="121"/>
      <c r="Q39" s="121"/>
      <c r="R39" s="121"/>
      <c r="S39" s="121"/>
      <c r="T39" s="121"/>
      <c r="U39" s="121"/>
      <c r="V39" s="121"/>
      <c r="W39" s="121"/>
      <c r="X39" s="121"/>
    </row>
    <row r="40" spans="2:24" ht="13.5" customHeight="1">
      <c r="B40" s="273">
        <v>9</v>
      </c>
      <c r="C40" s="640" t="s">
        <v>341</v>
      </c>
      <c r="D40" s="641"/>
      <c r="E40" s="641"/>
      <c r="F40" s="641"/>
      <c r="G40" s="641"/>
      <c r="H40" s="276"/>
      <c r="I40" s="291"/>
      <c r="J40" s="309"/>
      <c r="K40" s="279"/>
      <c r="L40" s="280"/>
      <c r="M40" s="279"/>
      <c r="N40" s="281"/>
      <c r="O40" s="119"/>
      <c r="P40" s="119"/>
      <c r="Q40" s="119"/>
      <c r="R40" s="119"/>
      <c r="S40" s="119"/>
      <c r="T40" s="119"/>
      <c r="U40" s="119"/>
      <c r="V40" s="119"/>
      <c r="W40" s="119"/>
      <c r="X40" s="119"/>
    </row>
    <row r="41" spans="2:24" ht="13.5" customHeight="1">
      <c r="B41" s="310" t="s">
        <v>342</v>
      </c>
      <c r="C41" s="640" t="s">
        <v>343</v>
      </c>
      <c r="D41" s="641"/>
      <c r="E41" s="641"/>
      <c r="F41" s="275"/>
      <c r="G41" s="147" t="s">
        <v>344</v>
      </c>
      <c r="H41" s="283"/>
      <c r="I41" s="626" t="s">
        <v>345</v>
      </c>
      <c r="J41" s="627"/>
      <c r="K41" s="626" t="s">
        <v>346</v>
      </c>
      <c r="L41" s="627"/>
      <c r="M41" s="276"/>
      <c r="N41" s="281"/>
      <c r="O41" s="118"/>
      <c r="P41" s="118"/>
      <c r="Q41" s="118"/>
      <c r="R41" s="118"/>
      <c r="S41" s="118"/>
      <c r="T41" s="118"/>
      <c r="U41" s="118"/>
      <c r="V41" s="118"/>
      <c r="W41" s="118"/>
      <c r="X41" s="118"/>
    </row>
    <row r="42" spans="2:24" ht="12.75" customHeight="1">
      <c r="B42" s="273"/>
      <c r="C42" s="274" t="s">
        <v>242</v>
      </c>
      <c r="D42" s="275" t="s">
        <v>347</v>
      </c>
      <c r="E42" s="311"/>
      <c r="F42" s="311"/>
      <c r="G42" s="147" t="s">
        <v>348</v>
      </c>
      <c r="H42" s="283"/>
      <c r="I42" s="282"/>
      <c r="J42" s="296" t="s">
        <v>348</v>
      </c>
      <c r="K42" s="283"/>
      <c r="L42" s="296" t="s">
        <v>348</v>
      </c>
      <c r="M42" s="276"/>
      <c r="N42" s="281"/>
      <c r="O42" s="118"/>
      <c r="P42" s="118"/>
      <c r="Q42" s="118"/>
      <c r="R42" s="118"/>
      <c r="S42" s="118"/>
      <c r="T42" s="118"/>
      <c r="U42" s="118"/>
      <c r="V42" s="118"/>
      <c r="W42" s="118"/>
      <c r="X42" s="118"/>
    </row>
    <row r="43" spans="2:26" ht="13.5" customHeight="1">
      <c r="B43" s="273"/>
      <c r="C43" s="312" t="s">
        <v>349</v>
      </c>
      <c r="D43" s="279" t="s">
        <v>350</v>
      </c>
      <c r="E43" s="279"/>
      <c r="F43" s="313" t="s">
        <v>240</v>
      </c>
      <c r="G43" s="298">
        <f>IF(DATA!AA27=3,0,'Annexure -I'!M24)</f>
        <v>33524</v>
      </c>
      <c r="H43" s="313"/>
      <c r="I43" s="304" t="s">
        <v>240</v>
      </c>
      <c r="J43" s="285">
        <f aca="true" t="shared" si="0" ref="J43:J52">IF(G43&lt;=Z43,G43,IF(G43&gt;=Z43,Z43))</f>
        <v>33524</v>
      </c>
      <c r="K43" s="313" t="s">
        <v>240</v>
      </c>
      <c r="L43" s="285">
        <f aca="true" t="shared" si="1" ref="L43:L53">J43</f>
        <v>33524</v>
      </c>
      <c r="M43" s="279"/>
      <c r="N43" s="281"/>
      <c r="O43" s="119"/>
      <c r="P43" s="119"/>
      <c r="Q43" s="119"/>
      <c r="R43" s="119"/>
      <c r="S43" s="119"/>
      <c r="T43" s="119"/>
      <c r="U43" s="119"/>
      <c r="V43" s="119"/>
      <c r="W43" s="119"/>
      <c r="X43" s="119"/>
      <c r="Z43" s="89">
        <v>100000</v>
      </c>
    </row>
    <row r="44" spans="2:26" ht="13.5" customHeight="1">
      <c r="B44" s="273"/>
      <c r="C44" s="312" t="s">
        <v>351</v>
      </c>
      <c r="D44" s="279" t="s">
        <v>352</v>
      </c>
      <c r="E44" s="279"/>
      <c r="F44" s="313" t="s">
        <v>240</v>
      </c>
      <c r="G44" s="298">
        <f>'Annexure -II'!L34</f>
        <v>6150</v>
      </c>
      <c r="H44" s="313"/>
      <c r="I44" s="304" t="s">
        <v>240</v>
      </c>
      <c r="J44" s="285">
        <f t="shared" si="0"/>
        <v>6150</v>
      </c>
      <c r="K44" s="313" t="s">
        <v>240</v>
      </c>
      <c r="L44" s="285">
        <f t="shared" si="1"/>
        <v>6150</v>
      </c>
      <c r="M44" s="279"/>
      <c r="N44" s="281"/>
      <c r="O44" s="119"/>
      <c r="P44" s="119"/>
      <c r="Q44" s="119"/>
      <c r="R44" s="119"/>
      <c r="S44" s="119"/>
      <c r="T44" s="119"/>
      <c r="U44" s="119"/>
      <c r="V44" s="119"/>
      <c r="W44" s="119"/>
      <c r="X44" s="119"/>
      <c r="Z44" s="89">
        <v>100000</v>
      </c>
    </row>
    <row r="45" spans="2:26" ht="13.5" customHeight="1">
      <c r="B45" s="273"/>
      <c r="C45" s="312" t="s">
        <v>353</v>
      </c>
      <c r="D45" s="279" t="s">
        <v>354</v>
      </c>
      <c r="E45" s="279"/>
      <c r="F45" s="313" t="s">
        <v>240</v>
      </c>
      <c r="G45" s="298">
        <f>'Annexure -II'!L35</f>
        <v>420</v>
      </c>
      <c r="H45" s="313"/>
      <c r="I45" s="304" t="s">
        <v>240</v>
      </c>
      <c r="J45" s="285">
        <f t="shared" si="0"/>
        <v>420</v>
      </c>
      <c r="K45" s="313" t="s">
        <v>240</v>
      </c>
      <c r="L45" s="285">
        <f t="shared" si="1"/>
        <v>420</v>
      </c>
      <c r="M45" s="279"/>
      <c r="N45" s="281"/>
      <c r="O45" s="119"/>
      <c r="P45" s="119"/>
      <c r="Q45" s="119"/>
      <c r="R45" s="119"/>
      <c r="S45" s="119"/>
      <c r="T45" s="119"/>
      <c r="U45" s="119"/>
      <c r="V45" s="119"/>
      <c r="W45" s="119"/>
      <c r="X45" s="119"/>
      <c r="Z45" s="89">
        <v>100000</v>
      </c>
    </row>
    <row r="46" spans="2:26" ht="13.5" customHeight="1">
      <c r="B46" s="273"/>
      <c r="C46" s="312" t="s">
        <v>355</v>
      </c>
      <c r="D46" s="632" t="s">
        <v>356</v>
      </c>
      <c r="E46" s="632"/>
      <c r="F46" s="313" t="s">
        <v>240</v>
      </c>
      <c r="G46" s="298">
        <f>'Annexure -II'!L36</f>
        <v>7488</v>
      </c>
      <c r="H46" s="313"/>
      <c r="I46" s="304" t="s">
        <v>240</v>
      </c>
      <c r="J46" s="285">
        <f t="shared" si="0"/>
        <v>7488</v>
      </c>
      <c r="K46" s="313" t="s">
        <v>240</v>
      </c>
      <c r="L46" s="285">
        <f t="shared" si="1"/>
        <v>7488</v>
      </c>
      <c r="M46" s="279"/>
      <c r="N46" s="281"/>
      <c r="O46" s="119"/>
      <c r="P46" s="119"/>
      <c r="Q46" s="119"/>
      <c r="R46" s="119"/>
      <c r="S46" s="119"/>
      <c r="T46" s="119"/>
      <c r="U46" s="119"/>
      <c r="V46" s="119"/>
      <c r="W46" s="119"/>
      <c r="X46" s="119"/>
      <c r="Z46" s="89">
        <v>100000</v>
      </c>
    </row>
    <row r="47" spans="2:26" ht="13.5" customHeight="1">
      <c r="B47" s="273"/>
      <c r="C47" s="312" t="s">
        <v>357</v>
      </c>
      <c r="D47" s="632" t="str">
        <f>'Annexure -II'!D37:I37</f>
        <v>Children Tution Fee </v>
      </c>
      <c r="E47" s="632"/>
      <c r="F47" s="313" t="s">
        <v>240</v>
      </c>
      <c r="G47" s="298">
        <f>'Annexure -II'!L37</f>
        <v>79000</v>
      </c>
      <c r="H47" s="313"/>
      <c r="I47" s="304" t="s">
        <v>240</v>
      </c>
      <c r="J47" s="285">
        <f t="shared" si="0"/>
        <v>79000</v>
      </c>
      <c r="K47" s="313" t="s">
        <v>240</v>
      </c>
      <c r="L47" s="285">
        <f t="shared" si="1"/>
        <v>79000</v>
      </c>
      <c r="M47" s="279"/>
      <c r="N47" s="281"/>
      <c r="O47" s="119"/>
      <c r="P47" s="119"/>
      <c r="Q47" s="119"/>
      <c r="R47" s="119"/>
      <c r="S47" s="119"/>
      <c r="T47" s="119"/>
      <c r="U47" s="119"/>
      <c r="V47" s="119"/>
      <c r="W47" s="119"/>
      <c r="X47" s="119"/>
      <c r="Z47" s="89">
        <v>100000</v>
      </c>
    </row>
    <row r="48" spans="2:26" ht="13.5" customHeight="1">
      <c r="B48" s="273"/>
      <c r="C48" s="312" t="s">
        <v>358</v>
      </c>
      <c r="D48" s="279" t="str">
        <f>'Annexure -II'!D38:I38</f>
        <v>Repayement of Home Loan Premium</v>
      </c>
      <c r="E48" s="279"/>
      <c r="F48" s="313" t="s">
        <v>240</v>
      </c>
      <c r="G48" s="298">
        <f>'Annexure -II'!L38</f>
        <v>0</v>
      </c>
      <c r="H48" s="313"/>
      <c r="I48" s="304" t="s">
        <v>240</v>
      </c>
      <c r="J48" s="285">
        <f t="shared" si="0"/>
        <v>0</v>
      </c>
      <c r="K48" s="313" t="s">
        <v>240</v>
      </c>
      <c r="L48" s="285">
        <f t="shared" si="1"/>
        <v>0</v>
      </c>
      <c r="M48" s="279"/>
      <c r="N48" s="281"/>
      <c r="O48" s="119"/>
      <c r="P48" s="119"/>
      <c r="Q48" s="119"/>
      <c r="R48" s="119"/>
      <c r="S48" s="119"/>
      <c r="T48" s="119"/>
      <c r="U48" s="119"/>
      <c r="V48" s="119"/>
      <c r="W48" s="119"/>
      <c r="X48" s="119"/>
      <c r="Z48" s="89">
        <v>100000</v>
      </c>
    </row>
    <row r="49" spans="2:26" ht="13.5" customHeight="1">
      <c r="B49" s="273"/>
      <c r="C49" s="312" t="s">
        <v>359</v>
      </c>
      <c r="D49" s="279" t="str">
        <f>'Annexure -II'!D39:I39</f>
        <v>LIC Annual Premiums Paid by Hand</v>
      </c>
      <c r="E49" s="279"/>
      <c r="F49" s="313" t="s">
        <v>240</v>
      </c>
      <c r="G49" s="298">
        <f>'Annexure -II'!L39</f>
        <v>0</v>
      </c>
      <c r="H49" s="313"/>
      <c r="I49" s="304" t="s">
        <v>240</v>
      </c>
      <c r="J49" s="285">
        <f t="shared" si="0"/>
        <v>0</v>
      </c>
      <c r="K49" s="313" t="s">
        <v>240</v>
      </c>
      <c r="L49" s="285">
        <f t="shared" si="1"/>
        <v>0</v>
      </c>
      <c r="M49" s="279"/>
      <c r="N49" s="281"/>
      <c r="O49" s="119"/>
      <c r="P49" s="119"/>
      <c r="Q49" s="119"/>
      <c r="R49" s="119"/>
      <c r="S49" s="119"/>
      <c r="T49" s="119"/>
      <c r="U49" s="119"/>
      <c r="V49" s="119"/>
      <c r="W49" s="119"/>
      <c r="X49" s="119"/>
      <c r="Z49" s="89">
        <v>100000</v>
      </c>
    </row>
    <row r="50" spans="2:26" ht="13.5" customHeight="1">
      <c r="B50" s="273"/>
      <c r="C50" s="312" t="s">
        <v>360</v>
      </c>
      <c r="D50" s="279" t="str">
        <f>'Annexure -II'!D40:I40</f>
        <v>PLI Annual Premuim</v>
      </c>
      <c r="E50" s="279"/>
      <c r="F50" s="313" t="s">
        <v>240</v>
      </c>
      <c r="G50" s="298">
        <f>'Annexure -II'!L40</f>
        <v>0</v>
      </c>
      <c r="H50" s="313"/>
      <c r="I50" s="304" t="s">
        <v>240</v>
      </c>
      <c r="J50" s="285">
        <f t="shared" si="0"/>
        <v>0</v>
      </c>
      <c r="K50" s="313" t="s">
        <v>240</v>
      </c>
      <c r="L50" s="285">
        <f t="shared" si="1"/>
        <v>0</v>
      </c>
      <c r="M50" s="295"/>
      <c r="N50" s="281"/>
      <c r="O50" s="119"/>
      <c r="P50" s="119"/>
      <c r="Q50" s="119"/>
      <c r="R50" s="119"/>
      <c r="S50" s="119"/>
      <c r="T50" s="119"/>
      <c r="U50" s="119"/>
      <c r="V50" s="119"/>
      <c r="W50" s="119"/>
      <c r="X50" s="119"/>
      <c r="Z50" s="89">
        <v>100000</v>
      </c>
    </row>
    <row r="51" spans="2:26" ht="13.5" customHeight="1">
      <c r="B51" s="273"/>
      <c r="C51" s="312" t="s">
        <v>361</v>
      </c>
      <c r="D51" s="279" t="str">
        <f>'Annexure -II'!D41:I41</f>
        <v>5 Years Fixed Deposits </v>
      </c>
      <c r="E51" s="279"/>
      <c r="F51" s="314" t="s">
        <v>240</v>
      </c>
      <c r="G51" s="298">
        <f>'Annexure -II'!L41</f>
        <v>0</v>
      </c>
      <c r="H51" s="315"/>
      <c r="I51" s="316" t="s">
        <v>240</v>
      </c>
      <c r="J51" s="287">
        <f t="shared" si="0"/>
        <v>0</v>
      </c>
      <c r="K51" s="314" t="s">
        <v>240</v>
      </c>
      <c r="L51" s="287">
        <f t="shared" si="1"/>
        <v>0</v>
      </c>
      <c r="M51" s="295"/>
      <c r="N51" s="281"/>
      <c r="O51" s="119"/>
      <c r="P51" s="119"/>
      <c r="Q51" s="119"/>
      <c r="R51" s="119"/>
      <c r="S51" s="119"/>
      <c r="T51" s="119"/>
      <c r="U51" s="119"/>
      <c r="V51" s="119"/>
      <c r="W51" s="119"/>
      <c r="X51" s="119"/>
      <c r="Z51" s="89">
        <v>100000</v>
      </c>
    </row>
    <row r="52" spans="2:26" ht="13.5" customHeight="1">
      <c r="B52" s="273"/>
      <c r="C52" s="312" t="s">
        <v>362</v>
      </c>
      <c r="D52" s="279" t="str">
        <f>'Annexure -II'!D42:I42</f>
        <v>Unit Linked Insurance Plan</v>
      </c>
      <c r="E52" s="279"/>
      <c r="F52" s="279" t="s">
        <v>240</v>
      </c>
      <c r="G52" s="298">
        <f>'Annexure -II'!L42</f>
        <v>0</v>
      </c>
      <c r="H52" s="317"/>
      <c r="I52" s="295" t="s">
        <v>240</v>
      </c>
      <c r="J52" s="294">
        <f t="shared" si="0"/>
        <v>0</v>
      </c>
      <c r="K52" s="295" t="s">
        <v>240</v>
      </c>
      <c r="L52" s="294">
        <f t="shared" si="1"/>
        <v>0</v>
      </c>
      <c r="M52" s="295"/>
      <c r="N52" s="281"/>
      <c r="O52" s="119"/>
      <c r="P52" s="119"/>
      <c r="Q52" s="119"/>
      <c r="R52" s="119"/>
      <c r="S52" s="119"/>
      <c r="T52" s="119"/>
      <c r="U52" s="119"/>
      <c r="V52" s="119"/>
      <c r="W52" s="119"/>
      <c r="X52" s="119"/>
      <c r="Y52" s="81">
        <f>G43+G44+G45+G46+G47+G48+G49+G50+G51+G52+G53</f>
        <v>126582</v>
      </c>
      <c r="Z52" s="89">
        <v>20000</v>
      </c>
    </row>
    <row r="53" spans="2:26" ht="13.5" customHeight="1">
      <c r="B53" s="273"/>
      <c r="C53" s="312" t="s">
        <v>378</v>
      </c>
      <c r="D53" s="279" t="str">
        <f>CONCATENATE('Annexure -II'!D43,'Annexure -II'!F43,'Annexure -II'!I43)</f>
        <v>Others       (0)</v>
      </c>
      <c r="E53" s="279"/>
      <c r="F53" s="279" t="s">
        <v>240</v>
      </c>
      <c r="G53" s="298">
        <f>'Annexure -II'!L43</f>
        <v>0</v>
      </c>
      <c r="H53" s="279"/>
      <c r="I53" s="295" t="s">
        <v>240</v>
      </c>
      <c r="J53" s="294">
        <f>G53</f>
        <v>0</v>
      </c>
      <c r="K53" s="295" t="s">
        <v>240</v>
      </c>
      <c r="L53" s="294">
        <f t="shared" si="1"/>
        <v>0</v>
      </c>
      <c r="M53" s="279"/>
      <c r="N53" s="281"/>
      <c r="O53" s="119"/>
      <c r="P53" s="119"/>
      <c r="Q53" s="119"/>
      <c r="R53" s="119"/>
      <c r="S53" s="119"/>
      <c r="T53" s="119"/>
      <c r="U53" s="119"/>
      <c r="V53" s="119"/>
      <c r="W53" s="119"/>
      <c r="X53" s="119"/>
      <c r="Y53" s="81"/>
      <c r="Z53" s="89"/>
    </row>
    <row r="54" spans="2:26" ht="12" customHeight="1">
      <c r="B54" s="273"/>
      <c r="C54" s="295"/>
      <c r="D54" s="279"/>
      <c r="E54" s="279"/>
      <c r="F54" s="279"/>
      <c r="G54" s="294"/>
      <c r="H54" s="279"/>
      <c r="I54" s="678" t="s">
        <v>363</v>
      </c>
      <c r="J54" s="679"/>
      <c r="K54" s="679"/>
      <c r="L54" s="680"/>
      <c r="M54" s="318" t="s">
        <v>240</v>
      </c>
      <c r="N54" s="293">
        <f>IF(Z54&lt;=Y54,Z54,IF(Z54&gt;=Y54,Y54))</f>
        <v>100000</v>
      </c>
      <c r="O54" s="121"/>
      <c r="P54" s="121"/>
      <c r="Q54" s="121"/>
      <c r="R54" s="121"/>
      <c r="S54" s="121"/>
      <c r="T54" s="121"/>
      <c r="U54" s="121"/>
      <c r="V54" s="121"/>
      <c r="W54" s="121"/>
      <c r="X54" s="121"/>
      <c r="Y54" s="131">
        <v>100000</v>
      </c>
      <c r="Z54" s="132">
        <f>SUM(L43:L53)</f>
        <v>126582</v>
      </c>
    </row>
    <row r="55" spans="2:24" ht="11.25" customHeight="1">
      <c r="B55" s="273"/>
      <c r="C55" s="319" t="s">
        <v>244</v>
      </c>
      <c r="D55" s="320" t="s">
        <v>364</v>
      </c>
      <c r="E55" s="279"/>
      <c r="F55" s="279"/>
      <c r="G55" s="294"/>
      <c r="H55" s="279"/>
      <c r="I55" s="295"/>
      <c r="J55" s="321"/>
      <c r="K55" s="279"/>
      <c r="L55" s="321"/>
      <c r="M55" s="279"/>
      <c r="N55" s="281"/>
      <c r="O55" s="119"/>
      <c r="P55" s="119"/>
      <c r="Q55" s="119"/>
      <c r="R55" s="119"/>
      <c r="S55" s="119"/>
      <c r="T55" s="119"/>
      <c r="U55" s="119"/>
      <c r="V55" s="119"/>
      <c r="W55" s="119"/>
      <c r="X55" s="119"/>
    </row>
    <row r="56" spans="2:28" ht="13.5" customHeight="1">
      <c r="B56" s="273"/>
      <c r="C56" s="322" t="s">
        <v>349</v>
      </c>
      <c r="D56" s="632">
        <f>'[1]Preparation sheet'!I14</f>
        <v>0</v>
      </c>
      <c r="E56" s="632"/>
      <c r="F56" s="313" t="s">
        <v>240</v>
      </c>
      <c r="G56" s="298"/>
      <c r="H56" s="313"/>
      <c r="I56" s="304" t="s">
        <v>240</v>
      </c>
      <c r="J56" s="285">
        <f>IF(G56&lt;=Z56,G56,IF(G56&gt;=Z56,Z56))</f>
        <v>0</v>
      </c>
      <c r="K56" s="313" t="s">
        <v>240</v>
      </c>
      <c r="L56" s="285">
        <f>IF(G56&lt;=Z56,G56,IF(G56&gt;=Z56,Z56))</f>
        <v>0</v>
      </c>
      <c r="M56" s="323" t="s">
        <v>240</v>
      </c>
      <c r="N56" s="324">
        <f>L56</f>
        <v>0</v>
      </c>
      <c r="O56" s="121"/>
      <c r="P56" s="121"/>
      <c r="Q56" s="121"/>
      <c r="R56" s="121"/>
      <c r="S56" s="121"/>
      <c r="T56" s="121"/>
      <c r="U56" s="121"/>
      <c r="V56" s="121"/>
      <c r="W56" s="121"/>
      <c r="X56" s="121"/>
      <c r="Z56" s="89">
        <v>10000</v>
      </c>
      <c r="AB56" s="106">
        <f>N54+N56+N58</f>
        <v>100000</v>
      </c>
    </row>
    <row r="57" spans="2:28" ht="14.25" customHeight="1">
      <c r="B57" s="273"/>
      <c r="C57" s="319" t="s">
        <v>245</v>
      </c>
      <c r="D57" s="320" t="s">
        <v>365</v>
      </c>
      <c r="E57" s="279"/>
      <c r="F57" s="279"/>
      <c r="G57" s="294"/>
      <c r="H57" s="279"/>
      <c r="I57" s="295"/>
      <c r="J57" s="292"/>
      <c r="K57" s="279"/>
      <c r="L57" s="292"/>
      <c r="M57" s="279"/>
      <c r="N57" s="281"/>
      <c r="O57" s="119"/>
      <c r="P57" s="119"/>
      <c r="Q57" s="119"/>
      <c r="R57" s="119"/>
      <c r="S57" s="119"/>
      <c r="T57" s="119"/>
      <c r="U57" s="119"/>
      <c r="V57" s="119"/>
      <c r="W57" s="119"/>
      <c r="X57" s="119"/>
      <c r="AB57" s="133"/>
    </row>
    <row r="58" spans="2:28" ht="13.5" customHeight="1">
      <c r="B58" s="273"/>
      <c r="C58" s="322" t="s">
        <v>349</v>
      </c>
      <c r="D58" s="632" t="s">
        <v>366</v>
      </c>
      <c r="E58" s="632"/>
      <c r="F58" s="313" t="s">
        <v>240</v>
      </c>
      <c r="G58" s="298">
        <f>IF(DATA!AA27=3,'Annexure -I'!M24,0)</f>
        <v>0</v>
      </c>
      <c r="H58" s="313"/>
      <c r="I58" s="304" t="s">
        <v>240</v>
      </c>
      <c r="J58" s="285">
        <f>IF(G58&lt;=Z58,G58,IF(G58&gt;=Z58,Z58))</f>
        <v>0</v>
      </c>
      <c r="K58" s="313" t="s">
        <v>240</v>
      </c>
      <c r="L58" s="285">
        <f>IF(G58&lt;Z58,G58,IF(G58&gt;Z58,Z58))</f>
        <v>0</v>
      </c>
      <c r="M58" s="325" t="s">
        <v>240</v>
      </c>
      <c r="N58" s="326">
        <f>L58</f>
        <v>0</v>
      </c>
      <c r="O58" s="121"/>
      <c r="P58" s="121"/>
      <c r="Q58" s="121"/>
      <c r="R58" s="121"/>
      <c r="S58" s="121"/>
      <c r="T58" s="121"/>
      <c r="U58" s="121"/>
      <c r="V58" s="121"/>
      <c r="W58" s="121"/>
      <c r="X58" s="121"/>
      <c r="Z58" s="89">
        <v>100000</v>
      </c>
      <c r="AB58" s="73"/>
    </row>
    <row r="59" spans="2:28" ht="15" customHeight="1">
      <c r="B59" s="273"/>
      <c r="C59" s="633" t="s">
        <v>367</v>
      </c>
      <c r="D59" s="634"/>
      <c r="E59" s="634"/>
      <c r="F59" s="634"/>
      <c r="G59" s="634"/>
      <c r="H59" s="634"/>
      <c r="I59" s="634"/>
      <c r="J59" s="634"/>
      <c r="K59" s="634"/>
      <c r="L59" s="635"/>
      <c r="M59" s="327" t="s">
        <v>240</v>
      </c>
      <c r="N59" s="328">
        <f>AB62+L52</f>
        <v>100000</v>
      </c>
      <c r="O59" s="121"/>
      <c r="P59" s="121"/>
      <c r="Q59" s="121"/>
      <c r="R59" s="121"/>
      <c r="S59" s="121"/>
      <c r="T59" s="121"/>
      <c r="U59" s="121"/>
      <c r="V59" s="121"/>
      <c r="W59" s="121"/>
      <c r="X59" s="121"/>
      <c r="Y59" s="73">
        <f>Z54+N56+N58</f>
        <v>126582</v>
      </c>
      <c r="Z59" s="73">
        <v>100000</v>
      </c>
      <c r="AB59" s="134">
        <f>IF(AB56&lt;Y54,AB56,AB57)</f>
        <v>0</v>
      </c>
    </row>
    <row r="60" spans="2:28" ht="3" customHeight="1">
      <c r="B60" s="329"/>
      <c r="C60" s="330"/>
      <c r="D60" s="331"/>
      <c r="E60" s="331"/>
      <c r="F60" s="331"/>
      <c r="G60" s="331"/>
      <c r="H60" s="332"/>
      <c r="I60" s="332"/>
      <c r="J60" s="332"/>
      <c r="K60" s="332"/>
      <c r="L60" s="333"/>
      <c r="M60" s="334"/>
      <c r="N60" s="335"/>
      <c r="O60" s="120"/>
      <c r="P60" s="120"/>
      <c r="Q60" s="120"/>
      <c r="R60" s="120"/>
      <c r="S60" s="120"/>
      <c r="T60" s="120"/>
      <c r="U60" s="120"/>
      <c r="V60" s="120"/>
      <c r="W60" s="120"/>
      <c r="X60" s="120"/>
      <c r="AB60" s="73"/>
    </row>
    <row r="61" spans="2:28" ht="12" customHeight="1">
      <c r="B61" s="636" t="s">
        <v>368</v>
      </c>
      <c r="C61" s="637"/>
      <c r="D61" s="638" t="s">
        <v>369</v>
      </c>
      <c r="E61" s="638"/>
      <c r="F61" s="638"/>
      <c r="G61" s="638"/>
      <c r="H61" s="638"/>
      <c r="I61" s="638"/>
      <c r="J61" s="638"/>
      <c r="K61" s="638"/>
      <c r="L61" s="638"/>
      <c r="M61" s="638"/>
      <c r="N61" s="639"/>
      <c r="O61" s="118"/>
      <c r="P61" s="118"/>
      <c r="Q61" s="118"/>
      <c r="R61" s="118"/>
      <c r="S61" s="118"/>
      <c r="T61" s="118"/>
      <c r="U61" s="118"/>
      <c r="V61" s="118"/>
      <c r="W61" s="118"/>
      <c r="X61" s="118"/>
      <c r="AB61" s="73"/>
    </row>
    <row r="62" spans="2:28" ht="12" customHeight="1">
      <c r="B62" s="628"/>
      <c r="C62" s="629"/>
      <c r="D62" s="630" t="s">
        <v>370</v>
      </c>
      <c r="E62" s="630"/>
      <c r="F62" s="630"/>
      <c r="G62" s="630"/>
      <c r="H62" s="630"/>
      <c r="I62" s="630"/>
      <c r="J62" s="630"/>
      <c r="K62" s="630"/>
      <c r="L62" s="630"/>
      <c r="M62" s="630"/>
      <c r="N62" s="631"/>
      <c r="O62" s="118"/>
      <c r="P62" s="118"/>
      <c r="Q62" s="118"/>
      <c r="R62" s="118"/>
      <c r="S62" s="118"/>
      <c r="T62" s="118"/>
      <c r="U62" s="118"/>
      <c r="V62" s="118"/>
      <c r="W62" s="118"/>
      <c r="X62" s="118"/>
      <c r="AB62" s="132">
        <f>IF(Y59&lt;Z59,Y59,IF(Y59&gt;Z59,Z59))</f>
        <v>100000</v>
      </c>
    </row>
    <row r="63" spans="2:24" ht="13.5" customHeight="1">
      <c r="B63" s="122" t="str">
        <f>'Annexure -II'!B66</f>
        <v>Progrmme developed by www.prtunzb.webs.com (Putta Srinivas Reddy 98490 25860)</v>
      </c>
      <c r="C63" s="123"/>
      <c r="D63" s="84"/>
      <c r="E63" s="84"/>
      <c r="F63" s="84"/>
      <c r="G63" s="84"/>
      <c r="H63" s="84"/>
      <c r="I63" s="84"/>
      <c r="J63" s="84"/>
      <c r="K63" s="84"/>
      <c r="L63" s="84"/>
      <c r="M63" s="84"/>
      <c r="N63" s="84"/>
      <c r="O63" s="84"/>
      <c r="P63" s="84"/>
      <c r="Q63" s="84"/>
      <c r="R63" s="84"/>
      <c r="S63" s="84"/>
      <c r="T63" s="84"/>
      <c r="U63" s="84"/>
      <c r="V63" s="84"/>
      <c r="W63" s="84"/>
      <c r="X63" s="84"/>
    </row>
    <row r="64" spans="2:24" ht="13.5" customHeight="1">
      <c r="B64" s="123"/>
      <c r="C64" s="123"/>
      <c r="D64" s="84"/>
      <c r="E64" s="84"/>
      <c r="F64" s="84"/>
      <c r="G64" s="84"/>
      <c r="H64" s="84"/>
      <c r="I64" s="84"/>
      <c r="J64" s="84"/>
      <c r="K64" s="84"/>
      <c r="L64" s="84"/>
      <c r="M64" s="84"/>
      <c r="N64" s="84"/>
      <c r="O64" s="84"/>
      <c r="P64" s="84"/>
      <c r="Q64" s="84"/>
      <c r="R64" s="84"/>
      <c r="S64" s="84"/>
      <c r="T64" s="84"/>
      <c r="U64" s="84"/>
      <c r="V64" s="84"/>
      <c r="W64" s="84"/>
      <c r="X64" s="84"/>
    </row>
    <row r="65" spans="2:24" ht="13.5" customHeight="1">
      <c r="B65" s="123"/>
      <c r="C65" s="123"/>
      <c r="D65" s="73"/>
      <c r="E65" s="135"/>
      <c r="F65" s="135"/>
      <c r="G65" s="135"/>
      <c r="H65" s="135"/>
      <c r="I65" s="73"/>
      <c r="J65" s="73"/>
      <c r="K65" s="73"/>
      <c r="L65" s="73"/>
      <c r="M65" s="73"/>
      <c r="N65" s="73"/>
      <c r="O65" s="73"/>
      <c r="P65" s="73"/>
      <c r="Q65" s="73"/>
      <c r="R65" s="73"/>
      <c r="S65" s="73"/>
      <c r="T65" s="73"/>
      <c r="U65" s="73"/>
      <c r="V65" s="73"/>
      <c r="W65" s="73"/>
      <c r="X65" s="73"/>
    </row>
    <row r="66" spans="2:24" ht="13.5" customHeight="1">
      <c r="B66" s="123"/>
      <c r="C66" s="85"/>
      <c r="D66" s="85"/>
      <c r="E66" s="85"/>
      <c r="F66" s="85"/>
      <c r="G66" s="85"/>
      <c r="H66" s="85"/>
      <c r="I66" s="73"/>
      <c r="J66" s="73"/>
      <c r="K66" s="73"/>
      <c r="L66" s="73"/>
      <c r="M66" s="73"/>
      <c r="N66" s="73"/>
      <c r="O66" s="73"/>
      <c r="P66" s="73"/>
      <c r="Q66" s="73"/>
      <c r="R66" s="73"/>
      <c r="S66" s="73"/>
      <c r="T66" s="73"/>
      <c r="U66" s="73"/>
      <c r="V66" s="73"/>
      <c r="W66" s="73"/>
      <c r="X66" s="73"/>
    </row>
    <row r="67" spans="2:24" ht="13.5" customHeight="1">
      <c r="B67" s="136"/>
      <c r="C67" s="123"/>
      <c r="D67" s="135"/>
      <c r="E67" s="135"/>
      <c r="F67" s="135"/>
      <c r="G67" s="135"/>
      <c r="H67" s="135"/>
      <c r="I67" s="73"/>
      <c r="J67" s="73"/>
      <c r="K67" s="73"/>
      <c r="L67" s="73"/>
      <c r="M67" s="73"/>
      <c r="N67" s="73"/>
      <c r="O67" s="73"/>
      <c r="P67" s="73"/>
      <c r="Q67" s="73"/>
      <c r="R67" s="73"/>
      <c r="S67" s="73"/>
      <c r="T67" s="73"/>
      <c r="U67" s="73"/>
      <c r="V67" s="73"/>
      <c r="W67" s="73"/>
      <c r="X67" s="73"/>
    </row>
    <row r="68" spans="2:24" ht="13.5" customHeight="1">
      <c r="B68" s="137"/>
      <c r="C68" s="123"/>
      <c r="D68" s="135"/>
      <c r="E68" s="135"/>
      <c r="F68" s="135"/>
      <c r="G68" s="135"/>
      <c r="H68" s="135"/>
      <c r="I68" s="73"/>
      <c r="J68" s="73"/>
      <c r="K68" s="73"/>
      <c r="L68" s="73"/>
      <c r="M68" s="73"/>
      <c r="N68" s="73"/>
      <c r="O68" s="73"/>
      <c r="P68" s="73"/>
      <c r="Q68" s="73"/>
      <c r="R68" s="73"/>
      <c r="S68" s="73"/>
      <c r="T68" s="73"/>
      <c r="U68" s="73"/>
      <c r="V68" s="73"/>
      <c r="W68" s="73"/>
      <c r="X68" s="73"/>
    </row>
    <row r="69" spans="2:25" ht="16.5">
      <c r="B69" s="137"/>
      <c r="C69" s="74"/>
      <c r="D69" s="73"/>
      <c r="E69" s="73"/>
      <c r="F69" s="73"/>
      <c r="H69" s="73"/>
      <c r="I69" s="73"/>
      <c r="J69" s="73"/>
      <c r="K69" s="73"/>
      <c r="L69" s="73"/>
      <c r="M69" s="73"/>
      <c r="N69" s="73"/>
      <c r="O69" s="73"/>
      <c r="P69" s="73"/>
      <c r="Q69" s="73"/>
      <c r="R69" s="73"/>
      <c r="S69" s="73"/>
      <c r="T69" s="73"/>
      <c r="U69" s="73"/>
      <c r="V69" s="73"/>
      <c r="W69" s="73"/>
      <c r="X69" s="73"/>
      <c r="Y69" s="73"/>
    </row>
    <row r="70" spans="2:25" ht="16.5">
      <c r="B70" s="137"/>
      <c r="C70" s="74"/>
      <c r="D70" s="73"/>
      <c r="E70" s="73"/>
      <c r="F70" s="73"/>
      <c r="G70" s="73"/>
      <c r="H70" s="73"/>
      <c r="I70" s="73"/>
      <c r="J70" s="73"/>
      <c r="K70" s="73"/>
      <c r="L70" s="73"/>
      <c r="M70" s="73"/>
      <c r="N70" s="73"/>
      <c r="O70" s="73"/>
      <c r="P70" s="73"/>
      <c r="Q70" s="73"/>
      <c r="R70" s="73"/>
      <c r="S70" s="73"/>
      <c r="T70" s="73"/>
      <c r="U70" s="73"/>
      <c r="V70" s="73"/>
      <c r="W70" s="73"/>
      <c r="X70" s="73"/>
      <c r="Y70" s="73"/>
    </row>
    <row r="71" spans="2:25" ht="16.5">
      <c r="B71" s="137"/>
      <c r="C71" s="74"/>
      <c r="D71" s="73"/>
      <c r="E71" s="73"/>
      <c r="F71" s="73"/>
      <c r="G71" s="73"/>
      <c r="H71" s="73"/>
      <c r="I71" s="73"/>
      <c r="J71" s="73"/>
      <c r="K71" s="73"/>
      <c r="L71" s="73"/>
      <c r="M71" s="73"/>
      <c r="N71" s="73"/>
      <c r="O71" s="73"/>
      <c r="P71" s="73"/>
      <c r="Q71" s="73"/>
      <c r="R71" s="73"/>
      <c r="S71" s="73"/>
      <c r="T71" s="73"/>
      <c r="U71" s="73"/>
      <c r="V71" s="73"/>
      <c r="W71" s="73"/>
      <c r="X71" s="73"/>
      <c r="Y71" s="73"/>
    </row>
    <row r="72" spans="2:25" ht="13.5">
      <c r="B72" s="73"/>
      <c r="C72" s="74"/>
      <c r="D72" s="73"/>
      <c r="E72" s="73"/>
      <c r="F72" s="73"/>
      <c r="G72" s="73"/>
      <c r="H72" s="73"/>
      <c r="I72" s="73"/>
      <c r="J72" s="73"/>
      <c r="K72" s="73"/>
      <c r="L72" s="73"/>
      <c r="M72" s="73"/>
      <c r="N72" s="73"/>
      <c r="O72" s="73"/>
      <c r="P72" s="73"/>
      <c r="Q72" s="73"/>
      <c r="R72" s="73"/>
      <c r="S72" s="73"/>
      <c r="T72" s="73"/>
      <c r="U72" s="73"/>
      <c r="V72" s="73"/>
      <c r="W72" s="73"/>
      <c r="X72" s="73"/>
      <c r="Y72" s="73"/>
    </row>
    <row r="73" spans="2:25" ht="13.5">
      <c r="B73" s="73"/>
      <c r="C73" s="74"/>
      <c r="D73" s="73"/>
      <c r="E73" s="73"/>
      <c r="F73" s="73"/>
      <c r="G73" s="73"/>
      <c r="H73" s="73"/>
      <c r="I73" s="73"/>
      <c r="J73" s="73"/>
      <c r="K73" s="73"/>
      <c r="L73" s="73"/>
      <c r="M73" s="73"/>
      <c r="N73" s="73"/>
      <c r="O73" s="73"/>
      <c r="P73" s="73"/>
      <c r="Q73" s="73"/>
      <c r="R73" s="73"/>
      <c r="S73" s="73"/>
      <c r="T73" s="73"/>
      <c r="U73" s="73"/>
      <c r="V73" s="73"/>
      <c r="W73" s="73"/>
      <c r="X73" s="73"/>
      <c r="Y73" s="73"/>
    </row>
    <row r="74" spans="2:25" ht="13.5">
      <c r="B74" s="73"/>
      <c r="C74" s="74"/>
      <c r="D74" s="73"/>
      <c r="E74" s="73"/>
      <c r="F74" s="73"/>
      <c r="G74" s="73"/>
      <c r="H74" s="73"/>
      <c r="I74" s="73"/>
      <c r="J74" s="73"/>
      <c r="K74" s="73"/>
      <c r="L74" s="73"/>
      <c r="M74" s="73"/>
      <c r="N74" s="73"/>
      <c r="O74" s="73"/>
      <c r="P74" s="73"/>
      <c r="Q74" s="73"/>
      <c r="R74" s="73"/>
      <c r="S74" s="73"/>
      <c r="T74" s="73"/>
      <c r="U74" s="73"/>
      <c r="V74" s="73"/>
      <c r="W74" s="73"/>
      <c r="X74" s="73"/>
      <c r="Y74" s="73"/>
    </row>
    <row r="75" spans="2:25" ht="13.5">
      <c r="B75" s="73"/>
      <c r="C75" s="74"/>
      <c r="D75" s="73"/>
      <c r="E75" s="73"/>
      <c r="F75" s="73"/>
      <c r="G75" s="73"/>
      <c r="H75" s="73"/>
      <c r="I75" s="73"/>
      <c r="J75" s="73"/>
      <c r="K75" s="73"/>
      <c r="L75" s="73"/>
      <c r="M75" s="73"/>
      <c r="N75" s="73"/>
      <c r="O75" s="73"/>
      <c r="P75" s="73"/>
      <c r="Q75" s="73"/>
      <c r="R75" s="73"/>
      <c r="S75" s="73"/>
      <c r="T75" s="73"/>
      <c r="U75" s="73"/>
      <c r="V75" s="73"/>
      <c r="W75" s="73"/>
      <c r="X75" s="73"/>
      <c r="Y75" s="73"/>
    </row>
    <row r="76" spans="2:25" ht="13.5">
      <c r="B76" s="73"/>
      <c r="C76" s="74"/>
      <c r="D76" s="73"/>
      <c r="E76" s="73"/>
      <c r="F76" s="73"/>
      <c r="G76" s="73"/>
      <c r="H76" s="73"/>
      <c r="I76" s="73"/>
      <c r="J76" s="73"/>
      <c r="K76" s="73"/>
      <c r="L76" s="73"/>
      <c r="M76" s="73"/>
      <c r="N76" s="73"/>
      <c r="O76" s="73"/>
      <c r="P76" s="73"/>
      <c r="Q76" s="73"/>
      <c r="R76" s="73"/>
      <c r="S76" s="73"/>
      <c r="T76" s="73"/>
      <c r="U76" s="73"/>
      <c r="V76" s="73"/>
      <c r="W76" s="73"/>
      <c r="X76" s="73"/>
      <c r="Y76" s="73"/>
    </row>
    <row r="77" spans="2:25" ht="13.5">
      <c r="B77" s="73"/>
      <c r="C77" s="74"/>
      <c r="D77" s="73"/>
      <c r="E77" s="73"/>
      <c r="F77" s="73"/>
      <c r="G77" s="73"/>
      <c r="H77" s="73"/>
      <c r="I77" s="73"/>
      <c r="J77" s="73"/>
      <c r="K77" s="73"/>
      <c r="L77" s="73"/>
      <c r="M77" s="73"/>
      <c r="N77" s="73"/>
      <c r="O77" s="73"/>
      <c r="P77" s="73"/>
      <c r="Q77" s="73"/>
      <c r="R77" s="73"/>
      <c r="S77" s="73"/>
      <c r="T77" s="73"/>
      <c r="U77" s="73"/>
      <c r="V77" s="73"/>
      <c r="W77" s="73"/>
      <c r="X77" s="73"/>
      <c r="Y77" s="73"/>
    </row>
    <row r="78" spans="2:24" ht="13.5">
      <c r="B78" s="73"/>
      <c r="C78" s="74"/>
      <c r="D78" s="73"/>
      <c r="E78" s="73"/>
      <c r="F78" s="73"/>
      <c r="G78" s="73"/>
      <c r="H78" s="73"/>
      <c r="I78" s="73"/>
      <c r="J78" s="73"/>
      <c r="K78" s="73"/>
      <c r="L78" s="73"/>
      <c r="M78" s="73"/>
      <c r="N78" s="73"/>
      <c r="O78" s="73"/>
      <c r="P78" s="73"/>
      <c r="Q78" s="73"/>
      <c r="R78" s="73"/>
      <c r="S78" s="73"/>
      <c r="T78" s="73"/>
      <c r="U78" s="73"/>
      <c r="V78" s="73"/>
      <c r="W78" s="73"/>
      <c r="X78" s="73"/>
    </row>
    <row r="79" spans="2:24" ht="13.5">
      <c r="B79" s="73"/>
      <c r="C79" s="74"/>
      <c r="D79" s="73"/>
      <c r="E79" s="73"/>
      <c r="F79" s="73"/>
      <c r="G79" s="73"/>
      <c r="H79" s="73"/>
      <c r="I79" s="73"/>
      <c r="J79" s="73"/>
      <c r="K79" s="73"/>
      <c r="L79" s="73"/>
      <c r="M79" s="73"/>
      <c r="N79" s="73"/>
      <c r="O79" s="73"/>
      <c r="P79" s="73"/>
      <c r="Q79" s="73"/>
      <c r="R79" s="73"/>
      <c r="S79" s="73"/>
      <c r="T79" s="73"/>
      <c r="U79" s="73"/>
      <c r="V79" s="73"/>
      <c r="W79" s="73"/>
      <c r="X79" s="73"/>
    </row>
    <row r="80" spans="2:24" ht="13.5">
      <c r="B80" s="73"/>
      <c r="C80" s="74"/>
      <c r="D80" s="73"/>
      <c r="E80" s="73"/>
      <c r="F80" s="73"/>
      <c r="G80" s="73"/>
      <c r="H80" s="73"/>
      <c r="I80" s="73"/>
      <c r="J80" s="73"/>
      <c r="K80" s="73"/>
      <c r="L80" s="73"/>
      <c r="M80" s="73"/>
      <c r="N80" s="73"/>
      <c r="O80" s="73"/>
      <c r="P80" s="73"/>
      <c r="Q80" s="73"/>
      <c r="R80" s="73"/>
      <c r="S80" s="73"/>
      <c r="T80" s="73"/>
      <c r="U80" s="73"/>
      <c r="V80" s="73"/>
      <c r="W80" s="73"/>
      <c r="X80" s="73"/>
    </row>
    <row r="81" spans="2:24" ht="13.5">
      <c r="B81" s="73"/>
      <c r="C81" s="74"/>
      <c r="D81" s="73"/>
      <c r="E81" s="73"/>
      <c r="F81" s="73"/>
      <c r="G81" s="73"/>
      <c r="H81" s="73"/>
      <c r="I81" s="73"/>
      <c r="J81" s="73"/>
      <c r="K81" s="73"/>
      <c r="L81" s="73"/>
      <c r="M81" s="73"/>
      <c r="N81" s="73"/>
      <c r="O81" s="73"/>
      <c r="P81" s="73"/>
      <c r="Q81" s="73"/>
      <c r="R81" s="73"/>
      <c r="S81" s="73"/>
      <c r="T81" s="73"/>
      <c r="U81" s="73"/>
      <c r="V81" s="73"/>
      <c r="W81" s="73"/>
      <c r="X81" s="73"/>
    </row>
    <row r="82" spans="2:24" ht="13.5">
      <c r="B82" s="73"/>
      <c r="C82" s="74"/>
      <c r="D82" s="73"/>
      <c r="E82" s="73"/>
      <c r="F82" s="73"/>
      <c r="G82" s="73"/>
      <c r="H82" s="73"/>
      <c r="I82" s="73"/>
      <c r="J82" s="73"/>
      <c r="K82" s="73"/>
      <c r="L82" s="73"/>
      <c r="M82" s="73"/>
      <c r="N82" s="73"/>
      <c r="O82" s="73"/>
      <c r="P82" s="73"/>
      <c r="Q82" s="73"/>
      <c r="R82" s="73"/>
      <c r="S82" s="73"/>
      <c r="T82" s="73"/>
      <c r="U82" s="73"/>
      <c r="V82" s="73"/>
      <c r="W82" s="73"/>
      <c r="X82" s="73"/>
    </row>
    <row r="83" ht="13.5">
      <c r="C83" s="138"/>
    </row>
    <row r="84" ht="13.5">
      <c r="C84" s="138"/>
    </row>
    <row r="85" ht="13.5">
      <c r="C85" s="138"/>
    </row>
    <row r="86" ht="13.5">
      <c r="C86" s="138"/>
    </row>
    <row r="87" ht="13.5">
      <c r="C87" s="138"/>
    </row>
    <row r="88" ht="13.5">
      <c r="C88" s="138"/>
    </row>
    <row r="89" ht="13.5">
      <c r="C89" s="138"/>
    </row>
    <row r="91" ht="13.5">
      <c r="C91" s="138"/>
    </row>
    <row r="92" ht="13.5">
      <c r="C92" s="138"/>
    </row>
    <row r="93" ht="13.5">
      <c r="C93" s="138"/>
    </row>
    <row r="94" ht="13.5">
      <c r="C94" s="138"/>
    </row>
    <row r="95" ht="13.5">
      <c r="C95" s="138"/>
    </row>
    <row r="96" ht="13.5">
      <c r="C96" s="138"/>
    </row>
    <row r="97" ht="13.5">
      <c r="C97" s="138"/>
    </row>
    <row r="98" ht="13.5">
      <c r="C98" s="138"/>
    </row>
    <row r="99" ht="13.5">
      <c r="C99" s="138"/>
    </row>
    <row r="100" ht="13.5">
      <c r="C100" s="138"/>
    </row>
    <row r="101" ht="13.5">
      <c r="C101" s="138"/>
    </row>
    <row r="102" ht="13.5">
      <c r="C102" s="138"/>
    </row>
    <row r="103" ht="13.5">
      <c r="C103" s="138"/>
    </row>
    <row r="104" ht="13.5">
      <c r="C104" s="138"/>
    </row>
    <row r="105" ht="13.5">
      <c r="C105" s="138"/>
    </row>
    <row r="106" ht="13.5">
      <c r="C106" s="138"/>
    </row>
    <row r="107" ht="13.5">
      <c r="C107" s="138"/>
    </row>
    <row r="108" ht="13.5">
      <c r="C108" s="138"/>
    </row>
    <row r="109" ht="13.5">
      <c r="C109" s="138"/>
    </row>
  </sheetData>
  <sheetProtection password="A837" sheet="1" objects="1" scenarios="1"/>
  <protectedRanges>
    <protectedRange sqref="B1:N62" name="Range1"/>
  </protectedRanges>
  <mergeCells count="69">
    <mergeCell ref="B12:N12"/>
    <mergeCell ref="B7:H7"/>
    <mergeCell ref="I7:N7"/>
    <mergeCell ref="B8:H8"/>
    <mergeCell ref="I8:N8"/>
    <mergeCell ref="C31:H31"/>
    <mergeCell ref="I10:N10"/>
    <mergeCell ref="B11:D11"/>
    <mergeCell ref="E11:G11"/>
    <mergeCell ref="I11:K11"/>
    <mergeCell ref="B10:H10"/>
    <mergeCell ref="L11:N11"/>
    <mergeCell ref="B13:D13"/>
    <mergeCell ref="E13:H13"/>
    <mergeCell ref="I13:L13"/>
    <mergeCell ref="C34:H34"/>
    <mergeCell ref="B19:N19"/>
    <mergeCell ref="C20:D20"/>
    <mergeCell ref="D21:H21"/>
    <mergeCell ref="D22:H22"/>
    <mergeCell ref="D25:H25"/>
    <mergeCell ref="C27:H27"/>
    <mergeCell ref="D29:E29"/>
    <mergeCell ref="I54:L54"/>
    <mergeCell ref="D47:E47"/>
    <mergeCell ref="C35:H35"/>
    <mergeCell ref="C36:H36"/>
    <mergeCell ref="C37:H37"/>
    <mergeCell ref="I41:J41"/>
    <mergeCell ref="D46:E46"/>
    <mergeCell ref="B6:H6"/>
    <mergeCell ref="I6:N6"/>
    <mergeCell ref="B9:H9"/>
    <mergeCell ref="I9:N9"/>
    <mergeCell ref="B17:D17"/>
    <mergeCell ref="E17:H17"/>
    <mergeCell ref="B14:D14"/>
    <mergeCell ref="E14:H14"/>
    <mergeCell ref="I14:J14"/>
    <mergeCell ref="M14:N14"/>
    <mergeCell ref="D23:H23"/>
    <mergeCell ref="K14:L14"/>
    <mergeCell ref="D24:H24"/>
    <mergeCell ref="B1:N1"/>
    <mergeCell ref="B2:N3"/>
    <mergeCell ref="B4:H4"/>
    <mergeCell ref="I4:N4"/>
    <mergeCell ref="B16:D16"/>
    <mergeCell ref="E16:H16"/>
    <mergeCell ref="M13:N13"/>
    <mergeCell ref="C30:H30"/>
    <mergeCell ref="C39:E39"/>
    <mergeCell ref="C40:G40"/>
    <mergeCell ref="C41:E41"/>
    <mergeCell ref="B18:N18"/>
    <mergeCell ref="B15:D15"/>
    <mergeCell ref="E15:H15"/>
    <mergeCell ref="I15:J17"/>
    <mergeCell ref="K15:L17"/>
    <mergeCell ref="M15:N17"/>
    <mergeCell ref="C38:H38"/>
    <mergeCell ref="K41:L41"/>
    <mergeCell ref="B62:C62"/>
    <mergeCell ref="D62:N62"/>
    <mergeCell ref="D56:E56"/>
    <mergeCell ref="D58:E58"/>
    <mergeCell ref="C59:L59"/>
    <mergeCell ref="B61:C61"/>
    <mergeCell ref="D61:N61"/>
  </mergeCells>
  <printOptions horizontalCentered="1" verticalCentered="1"/>
  <pageMargins left="0.7" right="0.45" top="0.5" bottom="0.5" header="0" footer="0"/>
  <pageSetup horizontalDpi="180" verticalDpi="18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B1:HA234"/>
  <sheetViews>
    <sheetView showGridLines="0" showRowColHeaders="0" zoomScalePageLayoutView="0" workbookViewId="0" topLeftCell="A1">
      <selection activeCell="M13" sqref="M13"/>
    </sheetView>
  </sheetViews>
  <sheetFormatPr defaultColWidth="9.140625" defaultRowHeight="13.5" customHeight="1"/>
  <cols>
    <col min="1" max="1" width="1.421875" style="71" customWidth="1"/>
    <col min="2" max="2" width="3.57421875" style="71" customWidth="1"/>
    <col min="3" max="3" width="3.140625" style="71" customWidth="1"/>
    <col min="4" max="4" width="3.8515625" style="71" customWidth="1"/>
    <col min="5" max="5" width="9.8515625" style="71" customWidth="1"/>
    <col min="6" max="6" width="13.28125" style="71" customWidth="1"/>
    <col min="7" max="7" width="13.140625" style="71" customWidth="1"/>
    <col min="8" max="8" width="4.00390625" style="71" customWidth="1"/>
    <col min="9" max="9" width="9.28125" style="71" customWidth="1"/>
    <col min="10" max="10" width="10.00390625" style="71" customWidth="1"/>
    <col min="11" max="11" width="9.8515625" style="71" customWidth="1"/>
    <col min="12" max="12" width="2.8515625" style="71" customWidth="1"/>
    <col min="13" max="13" width="8.57421875" style="71" customWidth="1"/>
    <col min="14" max="14" width="4.7109375" style="71" hidden="1" customWidth="1"/>
    <col min="15" max="28" width="8.57421875" style="71" hidden="1" customWidth="1"/>
    <col min="29" max="30" width="9.140625" style="71" hidden="1" customWidth="1"/>
    <col min="31" max="31" width="36.28125" style="71" hidden="1" customWidth="1"/>
    <col min="32" max="32" width="6.8515625" style="71" hidden="1" customWidth="1"/>
    <col min="33" max="33" width="11.28125" style="71" hidden="1" customWidth="1"/>
    <col min="34" max="113" width="9.140625" style="71" hidden="1" customWidth="1"/>
    <col min="114" max="114" width="9.421875" style="71" hidden="1" customWidth="1"/>
    <col min="115" max="161" width="9.140625" style="71" hidden="1" customWidth="1"/>
    <col min="162" max="16384" width="9.140625" style="71" customWidth="1"/>
  </cols>
  <sheetData>
    <row r="1" spans="15:28" ht="7.5" customHeight="1">
      <c r="O1" s="73"/>
      <c r="P1" s="73"/>
      <c r="Q1" s="73"/>
      <c r="R1" s="73"/>
      <c r="S1" s="73"/>
      <c r="T1" s="73"/>
      <c r="U1" s="73"/>
      <c r="V1" s="73"/>
      <c r="W1" s="73"/>
      <c r="X1" s="73"/>
      <c r="Y1" s="73"/>
      <c r="Z1" s="73"/>
      <c r="AA1" s="73"/>
      <c r="AB1" s="73"/>
    </row>
    <row r="2" spans="2:28" ht="14.25" customHeight="1">
      <c r="B2" s="352" t="s">
        <v>379</v>
      </c>
      <c r="C2" s="704" t="s">
        <v>380</v>
      </c>
      <c r="D2" s="704"/>
      <c r="E2" s="704"/>
      <c r="F2" s="704"/>
      <c r="G2" s="704"/>
      <c r="H2" s="607" t="s">
        <v>344</v>
      </c>
      <c r="I2" s="607"/>
      <c r="J2" s="353" t="s">
        <v>345</v>
      </c>
      <c r="K2" s="353" t="s">
        <v>346</v>
      </c>
      <c r="L2" s="354"/>
      <c r="M2" s="355"/>
      <c r="N2" s="82"/>
      <c r="O2" s="82"/>
      <c r="P2" s="82"/>
      <c r="Q2" s="82"/>
      <c r="R2" s="82"/>
      <c r="S2" s="82"/>
      <c r="T2" s="82"/>
      <c r="U2" s="82"/>
      <c r="V2" s="82"/>
      <c r="W2" s="82"/>
      <c r="X2" s="82"/>
      <c r="Y2" s="82"/>
      <c r="Z2" s="82"/>
      <c r="AA2" s="82"/>
      <c r="AB2" s="73"/>
    </row>
    <row r="3" spans="2:30" ht="14.25" customHeight="1">
      <c r="B3" s="356"/>
      <c r="C3" s="705" t="s">
        <v>381</v>
      </c>
      <c r="D3" s="705"/>
      <c r="E3" s="705"/>
      <c r="F3" s="705"/>
      <c r="G3" s="705"/>
      <c r="H3" s="706" t="s">
        <v>348</v>
      </c>
      <c r="I3" s="706"/>
      <c r="J3" s="357" t="s">
        <v>348</v>
      </c>
      <c r="K3" s="357" t="s">
        <v>348</v>
      </c>
      <c r="L3" s="245"/>
      <c r="M3" s="358"/>
      <c r="N3" s="82"/>
      <c r="O3" s="82"/>
      <c r="P3" s="82"/>
      <c r="Q3" s="82"/>
      <c r="R3" s="82"/>
      <c r="S3" s="82"/>
      <c r="T3" s="82"/>
      <c r="U3" s="82"/>
      <c r="V3" s="82"/>
      <c r="W3" s="82"/>
      <c r="X3" s="82"/>
      <c r="Y3" s="82"/>
      <c r="Z3" s="82"/>
      <c r="AA3" s="82"/>
      <c r="AC3" s="359"/>
      <c r="AD3" s="73"/>
    </row>
    <row r="4" spans="2:36" ht="15" customHeight="1">
      <c r="B4" s="360"/>
      <c r="C4" s="702" t="s">
        <v>382</v>
      </c>
      <c r="D4" s="730"/>
      <c r="E4" s="730"/>
      <c r="F4" s="730"/>
      <c r="G4" s="730"/>
      <c r="H4" s="361" t="s">
        <v>240</v>
      </c>
      <c r="I4" s="362">
        <f>'Annexure -II'!L29</f>
        <v>40</v>
      </c>
      <c r="J4" s="363">
        <f>IF(I4&lt;=AD18,I4,IF(I4&gt;=AD18,AD18))</f>
        <v>40</v>
      </c>
      <c r="K4" s="364">
        <f aca="true" t="shared" si="0" ref="K4:K11">J4</f>
        <v>40</v>
      </c>
      <c r="L4" s="245"/>
      <c r="M4" s="358"/>
      <c r="N4" s="82"/>
      <c r="O4" s="82"/>
      <c r="P4" s="82"/>
      <c r="Q4" s="82"/>
      <c r="R4" s="82"/>
      <c r="S4" s="82"/>
      <c r="T4" s="82"/>
      <c r="U4" s="82"/>
      <c r="V4" s="82"/>
      <c r="W4" s="82"/>
      <c r="X4" s="82"/>
      <c r="Y4" s="82"/>
      <c r="Z4" s="82"/>
      <c r="AA4" s="82"/>
      <c r="AB4" s="73"/>
      <c r="AD4" s="141"/>
      <c r="AE4" s="129"/>
      <c r="AF4" s="129"/>
      <c r="AG4" s="130"/>
      <c r="AJ4" s="365"/>
    </row>
    <row r="5" spans="2:33" ht="15" customHeight="1">
      <c r="B5" s="360"/>
      <c r="C5" s="702" t="str">
        <f>'Annexure -II'!D22</f>
        <v>Expenditure on medical treatment</v>
      </c>
      <c r="D5" s="703"/>
      <c r="E5" s="703"/>
      <c r="F5" s="703"/>
      <c r="G5" s="703"/>
      <c r="H5" s="361" t="s">
        <v>240</v>
      </c>
      <c r="I5" s="366">
        <v>0</v>
      </c>
      <c r="J5" s="362">
        <f>'Annexure -II'!L22</f>
        <v>0</v>
      </c>
      <c r="K5" s="364">
        <f t="shared" si="0"/>
        <v>0</v>
      </c>
      <c r="L5" s="245"/>
      <c r="M5" s="358"/>
      <c r="N5" s="82"/>
      <c r="O5" s="82"/>
      <c r="P5" s="82"/>
      <c r="Q5" s="82"/>
      <c r="R5" s="82"/>
      <c r="S5" s="82"/>
      <c r="T5" s="82"/>
      <c r="U5" s="82"/>
      <c r="V5" s="82"/>
      <c r="W5" s="82"/>
      <c r="X5" s="82"/>
      <c r="Y5" s="82"/>
      <c r="Z5" s="82"/>
      <c r="AA5" s="82"/>
      <c r="AB5" s="73"/>
      <c r="AD5" s="141"/>
      <c r="AE5" s="129"/>
      <c r="AF5" s="129"/>
      <c r="AG5" s="130"/>
    </row>
    <row r="6" spans="2:35" ht="15" customHeight="1">
      <c r="B6" s="360"/>
      <c r="C6" s="702" t="str">
        <f>'Annexure -II'!D23</f>
        <v>Medical Insurance Premium</v>
      </c>
      <c r="D6" s="703"/>
      <c r="E6" s="703"/>
      <c r="F6" s="703"/>
      <c r="G6" s="703"/>
      <c r="H6" s="361" t="s">
        <v>240</v>
      </c>
      <c r="I6" s="366">
        <f>'Annexure -II'!L23</f>
        <v>0</v>
      </c>
      <c r="J6" s="362">
        <f>'Annexure -II'!L23</f>
        <v>0</v>
      </c>
      <c r="K6" s="364">
        <f t="shared" si="0"/>
        <v>0</v>
      </c>
      <c r="L6" s="245"/>
      <c r="M6" s="358"/>
      <c r="N6" s="82"/>
      <c r="O6" s="82"/>
      <c r="P6" s="82"/>
      <c r="Q6" s="82"/>
      <c r="R6" s="82"/>
      <c r="S6" s="82"/>
      <c r="T6" s="82"/>
      <c r="U6" s="82"/>
      <c r="V6" s="82"/>
      <c r="W6" s="82"/>
      <c r="X6" s="82"/>
      <c r="Y6" s="82"/>
      <c r="Z6" s="82"/>
      <c r="AA6" s="82"/>
      <c r="AB6" s="73"/>
      <c r="AD6" s="141"/>
      <c r="AE6" s="129"/>
      <c r="AF6" s="129"/>
      <c r="AG6" s="130"/>
      <c r="AI6" s="89"/>
    </row>
    <row r="7" spans="2:35" ht="15" customHeight="1">
      <c r="B7" s="360"/>
      <c r="C7" s="702" t="str">
        <f>'Annexure -II'!D24</f>
        <v>Donation of Charitable Institution</v>
      </c>
      <c r="D7" s="703"/>
      <c r="E7" s="703"/>
      <c r="F7" s="703"/>
      <c r="G7" s="703"/>
      <c r="H7" s="361" t="s">
        <v>240</v>
      </c>
      <c r="I7" s="366">
        <v>0</v>
      </c>
      <c r="J7" s="362">
        <f>'Annexure -II'!L24</f>
        <v>0</v>
      </c>
      <c r="K7" s="364">
        <f t="shared" si="0"/>
        <v>0</v>
      </c>
      <c r="L7" s="245"/>
      <c r="M7" s="358"/>
      <c r="N7" s="82"/>
      <c r="O7" s="82"/>
      <c r="P7" s="82"/>
      <c r="Q7" s="82"/>
      <c r="R7" s="82"/>
      <c r="S7" s="82"/>
      <c r="T7" s="82"/>
      <c r="U7" s="82"/>
      <c r="V7" s="82"/>
      <c r="W7" s="82"/>
      <c r="X7" s="82"/>
      <c r="Y7" s="82"/>
      <c r="Z7" s="82"/>
      <c r="AA7" s="82"/>
      <c r="AB7" s="73"/>
      <c r="AD7" s="141"/>
      <c r="AE7" s="129"/>
      <c r="AF7" s="129"/>
      <c r="AG7" s="130"/>
      <c r="AI7" s="89"/>
    </row>
    <row r="8" spans="2:35" ht="15" customHeight="1">
      <c r="B8" s="360"/>
      <c r="C8" s="702" t="str">
        <f>'Annexure -II'!D25</f>
        <v>Interest on Educational Loan</v>
      </c>
      <c r="D8" s="703"/>
      <c r="E8" s="703"/>
      <c r="F8" s="703"/>
      <c r="G8" s="703"/>
      <c r="H8" s="361" t="s">
        <v>240</v>
      </c>
      <c r="I8" s="366">
        <f>DATA!M18</f>
        <v>0</v>
      </c>
      <c r="J8" s="362">
        <f>'Annexure -II'!L25</f>
        <v>0</v>
      </c>
      <c r="K8" s="364">
        <f t="shared" si="0"/>
        <v>0</v>
      </c>
      <c r="L8" s="245"/>
      <c r="M8" s="358"/>
      <c r="N8" s="82"/>
      <c r="O8" s="82"/>
      <c r="P8" s="82"/>
      <c r="Q8" s="82"/>
      <c r="R8" s="82"/>
      <c r="S8" s="82"/>
      <c r="T8" s="82"/>
      <c r="U8" s="82"/>
      <c r="V8" s="82"/>
      <c r="W8" s="82"/>
      <c r="X8" s="82"/>
      <c r="Y8" s="82"/>
      <c r="Z8" s="82"/>
      <c r="AA8" s="82"/>
      <c r="AB8" s="73"/>
      <c r="AD8" s="141"/>
      <c r="AE8" s="129"/>
      <c r="AF8" s="129"/>
      <c r="AG8" s="130"/>
      <c r="AI8" s="89"/>
    </row>
    <row r="9" spans="2:35" ht="15" customHeight="1">
      <c r="B9" s="360"/>
      <c r="C9" s="702" t="str">
        <f>'Annexure -II'!D26</f>
        <v>Interest on Housing Loan Advance</v>
      </c>
      <c r="D9" s="703"/>
      <c r="E9" s="703"/>
      <c r="F9" s="703"/>
      <c r="G9" s="703"/>
      <c r="H9" s="361" t="s">
        <v>240</v>
      </c>
      <c r="I9" s="366">
        <f>DATA!M19</f>
        <v>0</v>
      </c>
      <c r="J9" s="362">
        <f>'Annexure -II'!L26</f>
        <v>0</v>
      </c>
      <c r="K9" s="364">
        <f t="shared" si="0"/>
        <v>0</v>
      </c>
      <c r="L9" s="245"/>
      <c r="M9" s="358"/>
      <c r="N9" s="82"/>
      <c r="O9" s="82"/>
      <c r="P9" s="82"/>
      <c r="Q9" s="82"/>
      <c r="R9" s="82"/>
      <c r="S9" s="82"/>
      <c r="T9" s="82"/>
      <c r="U9" s="82"/>
      <c r="V9" s="82"/>
      <c r="W9" s="82"/>
      <c r="X9" s="82"/>
      <c r="Y9" s="82"/>
      <c r="Z9" s="82"/>
      <c r="AA9" s="82"/>
      <c r="AB9" s="73"/>
      <c r="AD9" s="141"/>
      <c r="AE9" s="129"/>
      <c r="AF9" s="129"/>
      <c r="AG9" s="130"/>
      <c r="AI9" s="89"/>
    </row>
    <row r="10" spans="2:35" ht="15" customHeight="1">
      <c r="B10" s="360"/>
      <c r="C10" s="702" t="str">
        <f>'Annexure -II'!D27</f>
        <v>Medical treatment of Handicapped/Dependent</v>
      </c>
      <c r="D10" s="703"/>
      <c r="E10" s="703"/>
      <c r="F10" s="703"/>
      <c r="G10" s="703"/>
      <c r="H10" s="361" t="s">
        <v>240</v>
      </c>
      <c r="I10" s="366">
        <f>DATA!M20</f>
        <v>0</v>
      </c>
      <c r="J10" s="362">
        <f>'Annexure -II'!L27</f>
        <v>0</v>
      </c>
      <c r="K10" s="364">
        <f t="shared" si="0"/>
        <v>0</v>
      </c>
      <c r="L10" s="245"/>
      <c r="M10" s="358"/>
      <c r="N10" s="82"/>
      <c r="O10" s="82"/>
      <c r="P10" s="82"/>
      <c r="Q10" s="82"/>
      <c r="R10" s="82"/>
      <c r="S10" s="82"/>
      <c r="T10" s="82"/>
      <c r="U10" s="82"/>
      <c r="V10" s="82"/>
      <c r="W10" s="82"/>
      <c r="X10" s="82"/>
      <c r="Y10" s="82"/>
      <c r="Z10" s="82"/>
      <c r="AA10" s="82"/>
      <c r="AB10" s="73"/>
      <c r="AD10" s="141"/>
      <c r="AE10" s="129"/>
      <c r="AF10" s="129"/>
      <c r="AG10" s="130"/>
      <c r="AI10" s="89"/>
    </row>
    <row r="11" spans="2:35" ht="15" customHeight="1">
      <c r="B11" s="360"/>
      <c r="C11" s="702">
        <f>'Annexure -II'!D28</f>
      </c>
      <c r="D11" s="703"/>
      <c r="E11" s="703"/>
      <c r="F11" s="703"/>
      <c r="G11" s="703"/>
      <c r="H11" s="361" t="s">
        <v>240</v>
      </c>
      <c r="I11" s="366">
        <f>DATA!M21</f>
        <v>0</v>
      </c>
      <c r="J11" s="362">
        <f>'Annexure -II'!L28</f>
        <v>0</v>
      </c>
      <c r="K11" s="364">
        <f t="shared" si="0"/>
        <v>0</v>
      </c>
      <c r="L11" s="245"/>
      <c r="M11" s="358"/>
      <c r="N11" s="82"/>
      <c r="O11" s="82"/>
      <c r="P11" s="82"/>
      <c r="Q11" s="82"/>
      <c r="R11" s="82"/>
      <c r="S11" s="82"/>
      <c r="T11" s="82"/>
      <c r="U11" s="82"/>
      <c r="V11" s="82"/>
      <c r="W11" s="82"/>
      <c r="X11" s="82"/>
      <c r="Y11" s="82"/>
      <c r="Z11" s="82"/>
      <c r="AA11" s="82"/>
      <c r="AB11" s="73"/>
      <c r="AD11" s="141"/>
      <c r="AE11" s="129"/>
      <c r="AF11" s="129"/>
      <c r="AG11" s="130"/>
      <c r="AI11" s="89"/>
    </row>
    <row r="12" spans="2:35" ht="15.75" customHeight="1">
      <c r="B12" s="356"/>
      <c r="C12" s="245"/>
      <c r="D12" s="245"/>
      <c r="E12" s="245"/>
      <c r="F12" s="245"/>
      <c r="G12" s="275" t="s">
        <v>383</v>
      </c>
      <c r="H12" s="275"/>
      <c r="I12" s="275"/>
      <c r="J12" s="367"/>
      <c r="K12" s="368"/>
      <c r="L12" s="369" t="s">
        <v>240</v>
      </c>
      <c r="M12" s="370">
        <f>SUM(K4:K11)</f>
        <v>40</v>
      </c>
      <c r="N12" s="120"/>
      <c r="O12" s="120"/>
      <c r="P12" s="120"/>
      <c r="Q12" s="120"/>
      <c r="R12" s="120"/>
      <c r="S12" s="120"/>
      <c r="T12" s="120"/>
      <c r="U12" s="120"/>
      <c r="V12" s="120"/>
      <c r="W12" s="120"/>
      <c r="X12" s="120"/>
      <c r="Y12" s="120"/>
      <c r="Z12" s="120"/>
      <c r="AA12" s="120"/>
      <c r="AB12" s="139"/>
      <c r="AD12" s="141"/>
      <c r="AE12" s="129"/>
      <c r="AF12" s="129"/>
      <c r="AG12" s="130"/>
      <c r="AI12" s="89"/>
    </row>
    <row r="13" spans="2:33" ht="15.75">
      <c r="B13" s="356">
        <v>10</v>
      </c>
      <c r="C13" s="594" t="s">
        <v>384</v>
      </c>
      <c r="D13" s="594"/>
      <c r="E13" s="594"/>
      <c r="F13" s="594"/>
      <c r="G13" s="594"/>
      <c r="H13" s="594"/>
      <c r="I13" s="594"/>
      <c r="J13" s="371"/>
      <c r="K13" s="372"/>
      <c r="L13" s="373" t="s">
        <v>240</v>
      </c>
      <c r="M13" s="374">
        <f>'Form 16 Page1'!N59+'Form 16 Page2'!M12</f>
        <v>100040</v>
      </c>
      <c r="N13" s="375"/>
      <c r="O13" s="375"/>
      <c r="P13" s="375"/>
      <c r="Q13" s="375"/>
      <c r="R13" s="375"/>
      <c r="S13" s="375"/>
      <c r="T13" s="375"/>
      <c r="U13" s="375"/>
      <c r="V13" s="375"/>
      <c r="W13" s="375"/>
      <c r="X13" s="375"/>
      <c r="Y13" s="375"/>
      <c r="Z13" s="375"/>
      <c r="AA13" s="375"/>
      <c r="AB13" s="105"/>
      <c r="AD13" s="141"/>
      <c r="AE13" s="129"/>
      <c r="AF13" s="129"/>
      <c r="AG13" s="130"/>
    </row>
    <row r="14" spans="2:33" ht="4.5" customHeight="1">
      <c r="B14" s="356"/>
      <c r="C14" s="245"/>
      <c r="D14" s="245"/>
      <c r="E14" s="245"/>
      <c r="F14" s="245"/>
      <c r="G14" s="245"/>
      <c r="H14" s="245"/>
      <c r="I14" s="245"/>
      <c r="J14" s="371"/>
      <c r="K14" s="372"/>
      <c r="L14" s="148"/>
      <c r="M14" s="376"/>
      <c r="N14" s="82"/>
      <c r="O14" s="82"/>
      <c r="P14" s="82"/>
      <c r="Q14" s="82"/>
      <c r="R14" s="82"/>
      <c r="S14" s="82"/>
      <c r="T14" s="82"/>
      <c r="U14" s="82"/>
      <c r="V14" s="82"/>
      <c r="W14" s="82"/>
      <c r="X14" s="82"/>
      <c r="Y14" s="82"/>
      <c r="Z14" s="82"/>
      <c r="AA14" s="82"/>
      <c r="AB14" s="73"/>
      <c r="AD14" s="141"/>
      <c r="AE14" s="129"/>
      <c r="AF14" s="129"/>
      <c r="AG14" s="130"/>
    </row>
    <row r="15" spans="2:33" ht="15.75">
      <c r="B15" s="356">
        <v>11</v>
      </c>
      <c r="C15" s="594" t="s">
        <v>385</v>
      </c>
      <c r="D15" s="594"/>
      <c r="E15" s="594"/>
      <c r="F15" s="594"/>
      <c r="G15" s="594"/>
      <c r="H15" s="594"/>
      <c r="I15" s="594"/>
      <c r="J15" s="371"/>
      <c r="K15" s="372"/>
      <c r="L15" s="148" t="s">
        <v>240</v>
      </c>
      <c r="M15" s="377">
        <f>ROUND(('Form 16 Page1'!N39-'Form 16 Page2'!M13),-1)</f>
        <v>164520</v>
      </c>
      <c r="N15" s="378"/>
      <c r="O15" s="378"/>
      <c r="P15" s="378"/>
      <c r="Q15" s="378"/>
      <c r="R15" s="378"/>
      <c r="S15" s="378"/>
      <c r="T15" s="378"/>
      <c r="U15" s="378"/>
      <c r="V15" s="378"/>
      <c r="W15" s="378"/>
      <c r="X15" s="378"/>
      <c r="Y15" s="378"/>
      <c r="Z15" s="378"/>
      <c r="AA15" s="378"/>
      <c r="AB15" s="140"/>
      <c r="AD15" s="141"/>
      <c r="AE15" s="129"/>
      <c r="AF15" s="129"/>
      <c r="AG15" s="130"/>
    </row>
    <row r="16" spans="2:36" ht="15">
      <c r="B16" s="356">
        <v>12</v>
      </c>
      <c r="C16" s="594" t="s">
        <v>386</v>
      </c>
      <c r="D16" s="594"/>
      <c r="E16" s="594"/>
      <c r="F16" s="594"/>
      <c r="G16" s="594"/>
      <c r="H16" s="594"/>
      <c r="I16" s="594"/>
      <c r="J16" s="371"/>
      <c r="K16" s="372"/>
      <c r="L16" s="379" t="s">
        <v>240</v>
      </c>
      <c r="M16" s="380">
        <f>'Annexure -II'!M49+'Annexure -II'!M50+'Annexure -II'!M51</f>
        <v>0</v>
      </c>
      <c r="N16" s="82"/>
      <c r="O16" s="82"/>
      <c r="P16" s="82"/>
      <c r="Q16" s="82"/>
      <c r="R16" s="82"/>
      <c r="S16" s="82"/>
      <c r="T16" s="82"/>
      <c r="U16" s="82"/>
      <c r="V16" s="82"/>
      <c r="W16" s="82"/>
      <c r="X16" s="82"/>
      <c r="Y16" s="82"/>
      <c r="Z16" s="82"/>
      <c r="AA16" s="82"/>
      <c r="AB16" s="73"/>
      <c r="AD16" s="141"/>
      <c r="AE16" s="129"/>
      <c r="AF16" s="129"/>
      <c r="AG16" s="130"/>
      <c r="AJ16" s="81"/>
    </row>
    <row r="17" spans="2:36" ht="15.75" customHeight="1">
      <c r="B17" s="356">
        <v>13</v>
      </c>
      <c r="C17" s="589" t="s">
        <v>387</v>
      </c>
      <c r="D17" s="589"/>
      <c r="E17" s="589"/>
      <c r="F17" s="589"/>
      <c r="G17" s="589"/>
      <c r="H17" s="589"/>
      <c r="I17" s="589"/>
      <c r="J17" s="371"/>
      <c r="K17" s="372"/>
      <c r="L17" s="379" t="s">
        <v>240</v>
      </c>
      <c r="M17" s="380">
        <f>ROUND(M16*1%,0)</f>
        <v>0</v>
      </c>
      <c r="N17" s="80"/>
      <c r="O17" s="80"/>
      <c r="P17" s="80"/>
      <c r="Q17" s="80"/>
      <c r="R17" s="80"/>
      <c r="S17" s="80"/>
      <c r="T17" s="80"/>
      <c r="U17" s="80"/>
      <c r="V17" s="80"/>
      <c r="W17" s="80"/>
      <c r="X17" s="80"/>
      <c r="Y17" s="80"/>
      <c r="Z17" s="80"/>
      <c r="AA17" s="80"/>
      <c r="AB17" s="102"/>
      <c r="AD17" s="141"/>
      <c r="AE17" s="129"/>
      <c r="AF17" s="129"/>
      <c r="AG17" s="130"/>
      <c r="AJ17" s="81"/>
    </row>
    <row r="18" spans="2:36" ht="15.75" customHeight="1">
      <c r="B18" s="356">
        <v>14</v>
      </c>
      <c r="C18" s="589" t="s">
        <v>388</v>
      </c>
      <c r="D18" s="589"/>
      <c r="E18" s="589"/>
      <c r="F18" s="589"/>
      <c r="G18" s="589"/>
      <c r="H18" s="589"/>
      <c r="I18" s="589"/>
      <c r="J18" s="371"/>
      <c r="K18" s="372"/>
      <c r="L18" s="379" t="s">
        <v>240</v>
      </c>
      <c r="M18" s="380">
        <f>ROUND(M16*2%,0)</f>
        <v>0</v>
      </c>
      <c r="N18" s="80"/>
      <c r="O18" s="80"/>
      <c r="P18" s="80"/>
      <c r="Q18" s="80"/>
      <c r="R18" s="80"/>
      <c r="S18" s="80"/>
      <c r="T18" s="80"/>
      <c r="U18" s="80"/>
      <c r="V18" s="80"/>
      <c r="W18" s="80"/>
      <c r="X18" s="80"/>
      <c r="Y18" s="80"/>
      <c r="Z18" s="80"/>
      <c r="AA18" s="80"/>
      <c r="AB18" s="102"/>
      <c r="AD18" s="141">
        <v>100000</v>
      </c>
      <c r="AE18" s="129"/>
      <c r="AF18" s="129"/>
      <c r="AG18" s="130"/>
      <c r="AJ18" s="81"/>
    </row>
    <row r="19" spans="2:36" ht="15.75">
      <c r="B19" s="356">
        <v>15</v>
      </c>
      <c r="C19" s="594" t="s">
        <v>389</v>
      </c>
      <c r="D19" s="594"/>
      <c r="E19" s="594"/>
      <c r="F19" s="594"/>
      <c r="G19" s="594"/>
      <c r="H19" s="594"/>
      <c r="I19" s="594"/>
      <c r="J19" s="371"/>
      <c r="K19" s="372"/>
      <c r="L19" s="379" t="s">
        <v>240</v>
      </c>
      <c r="M19" s="254">
        <f>SUM(M16:M18)</f>
        <v>0</v>
      </c>
      <c r="N19" s="375"/>
      <c r="O19" s="375"/>
      <c r="P19" s="375"/>
      <c r="Q19" s="375"/>
      <c r="R19" s="375"/>
      <c r="S19" s="375"/>
      <c r="T19" s="375"/>
      <c r="U19" s="375"/>
      <c r="V19" s="375"/>
      <c r="W19" s="375"/>
      <c r="X19" s="375"/>
      <c r="Y19" s="375"/>
      <c r="Z19" s="375"/>
      <c r="AA19" s="375"/>
      <c r="AB19" s="101"/>
      <c r="AE19" s="129"/>
      <c r="AF19" s="129"/>
      <c r="AG19" s="130"/>
      <c r="AJ19" s="81"/>
    </row>
    <row r="20" spans="2:36" ht="15.75" customHeight="1">
      <c r="B20" s="356">
        <v>16</v>
      </c>
      <c r="C20" s="589" t="s">
        <v>390</v>
      </c>
      <c r="D20" s="589"/>
      <c r="E20" s="589"/>
      <c r="F20" s="589"/>
      <c r="G20" s="589"/>
      <c r="H20" s="589"/>
      <c r="I20" s="589"/>
      <c r="J20" s="371"/>
      <c r="K20" s="372"/>
      <c r="L20" s="379" t="s">
        <v>240</v>
      </c>
      <c r="M20" s="380">
        <v>0</v>
      </c>
      <c r="N20" s="82"/>
      <c r="O20" s="82"/>
      <c r="P20" s="82"/>
      <c r="Q20" s="82"/>
      <c r="R20" s="82"/>
      <c r="S20" s="82"/>
      <c r="T20" s="82"/>
      <c r="U20" s="82"/>
      <c r="V20" s="82"/>
      <c r="W20" s="82"/>
      <c r="X20" s="82"/>
      <c r="Y20" s="82"/>
      <c r="Z20" s="82"/>
      <c r="AA20" s="82"/>
      <c r="AB20" s="73"/>
      <c r="AE20" s="129"/>
      <c r="AF20" s="129"/>
      <c r="AJ20" s="81"/>
    </row>
    <row r="21" spans="2:36" ht="15.75">
      <c r="B21" s="356">
        <v>17</v>
      </c>
      <c r="C21" s="594" t="s">
        <v>391</v>
      </c>
      <c r="D21" s="594"/>
      <c r="E21" s="594"/>
      <c r="F21" s="594"/>
      <c r="G21" s="594"/>
      <c r="H21" s="594"/>
      <c r="I21" s="594"/>
      <c r="J21" s="371"/>
      <c r="K21" s="372"/>
      <c r="L21" s="379" t="s">
        <v>240</v>
      </c>
      <c r="M21" s="254">
        <f>M19-M20</f>
        <v>0</v>
      </c>
      <c r="N21" s="375"/>
      <c r="O21" s="375"/>
      <c r="P21" s="375"/>
      <c r="Q21" s="375"/>
      <c r="R21" s="375"/>
      <c r="S21" s="375"/>
      <c r="T21" s="375"/>
      <c r="U21" s="375"/>
      <c r="V21" s="375"/>
      <c r="W21" s="375"/>
      <c r="X21" s="375"/>
      <c r="Y21" s="375"/>
      <c r="Z21" s="375"/>
      <c r="AA21" s="375"/>
      <c r="AB21" s="101"/>
      <c r="AJ21" s="81"/>
    </row>
    <row r="22" spans="2:36" ht="15.75" customHeight="1">
      <c r="B22" s="356">
        <v>18</v>
      </c>
      <c r="C22" s="600" t="s">
        <v>392</v>
      </c>
      <c r="D22" s="589"/>
      <c r="E22" s="589"/>
      <c r="F22" s="589"/>
      <c r="G22" s="589"/>
      <c r="H22" s="589"/>
      <c r="I22" s="589"/>
      <c r="J22" s="371"/>
      <c r="K22" s="372"/>
      <c r="L22" s="379" t="s">
        <v>240</v>
      </c>
      <c r="M22" s="380">
        <v>0</v>
      </c>
      <c r="N22" s="82"/>
      <c r="O22" s="82"/>
      <c r="P22" s="82"/>
      <c r="Q22" s="82"/>
      <c r="R22" s="82"/>
      <c r="S22" s="82"/>
      <c r="T22" s="82"/>
      <c r="U22" s="82"/>
      <c r="V22" s="82"/>
      <c r="W22" s="82"/>
      <c r="X22" s="82"/>
      <c r="Y22" s="82"/>
      <c r="Z22" s="82"/>
      <c r="AA22" s="82"/>
      <c r="AB22" s="73"/>
      <c r="AJ22" s="81"/>
    </row>
    <row r="23" spans="2:36" ht="15.75" customHeight="1">
      <c r="B23" s="356"/>
      <c r="C23" s="230"/>
      <c r="D23" s="595" t="s">
        <v>393</v>
      </c>
      <c r="E23" s="595"/>
      <c r="F23" s="595"/>
      <c r="G23" s="595"/>
      <c r="H23" s="595"/>
      <c r="I23" s="595"/>
      <c r="J23" s="371"/>
      <c r="K23" s="372"/>
      <c r="L23" s="379" t="s">
        <v>240</v>
      </c>
      <c r="M23" s="380"/>
      <c r="N23" s="82"/>
      <c r="O23" s="82"/>
      <c r="P23" s="82"/>
      <c r="Q23" s="82"/>
      <c r="R23" s="82"/>
      <c r="S23" s="82"/>
      <c r="T23" s="82"/>
      <c r="U23" s="82"/>
      <c r="V23" s="82"/>
      <c r="W23" s="82"/>
      <c r="X23" s="82"/>
      <c r="Y23" s="82"/>
      <c r="Z23" s="82"/>
      <c r="AA23" s="82"/>
      <c r="AB23" s="73"/>
      <c r="AJ23" s="81"/>
    </row>
    <row r="24" spans="2:36" ht="15.75" customHeight="1">
      <c r="B24" s="356"/>
      <c r="C24" s="230"/>
      <c r="D24" s="589" t="s">
        <v>394</v>
      </c>
      <c r="E24" s="589"/>
      <c r="F24" s="589"/>
      <c r="G24" s="589"/>
      <c r="H24" s="589"/>
      <c r="I24" s="589"/>
      <c r="J24" s="371"/>
      <c r="K24" s="372"/>
      <c r="L24" s="379" t="s">
        <v>240</v>
      </c>
      <c r="M24" s="380">
        <v>0</v>
      </c>
      <c r="N24" s="82"/>
      <c r="O24" s="82"/>
      <c r="P24" s="82"/>
      <c r="Q24" s="82"/>
      <c r="R24" s="82"/>
      <c r="S24" s="82"/>
      <c r="T24" s="82"/>
      <c r="U24" s="82"/>
      <c r="V24" s="82"/>
      <c r="W24" s="82"/>
      <c r="X24" s="82"/>
      <c r="Y24" s="82"/>
      <c r="Z24" s="82"/>
      <c r="AA24" s="82"/>
      <c r="AB24" s="73"/>
      <c r="AJ24" s="81"/>
    </row>
    <row r="25" spans="2:36" ht="15.75">
      <c r="B25" s="381">
        <v>19</v>
      </c>
      <c r="C25" s="710" t="s">
        <v>395</v>
      </c>
      <c r="D25" s="710"/>
      <c r="E25" s="710"/>
      <c r="F25" s="710"/>
      <c r="G25" s="710"/>
      <c r="H25" s="382"/>
      <c r="I25" s="276"/>
      <c r="J25" s="383"/>
      <c r="K25" s="384"/>
      <c r="L25" s="283" t="s">
        <v>240</v>
      </c>
      <c r="M25" s="293">
        <f>(M21-(M22+M24))</f>
        <v>0</v>
      </c>
      <c r="N25" s="375"/>
      <c r="O25" s="375"/>
      <c r="P25" s="375"/>
      <c r="Q25" s="375"/>
      <c r="R25" s="375"/>
      <c r="S25" s="375"/>
      <c r="T25" s="375"/>
      <c r="U25" s="375"/>
      <c r="V25" s="375"/>
      <c r="W25" s="375"/>
      <c r="X25" s="375"/>
      <c r="Y25" s="375"/>
      <c r="Z25" s="375"/>
      <c r="AA25" s="375"/>
      <c r="AB25" s="105"/>
      <c r="AJ25" s="81"/>
    </row>
    <row r="26" spans="2:36" ht="5.25" customHeight="1">
      <c r="B26" s="385"/>
      <c r="C26" s="386"/>
      <c r="D26" s="386"/>
      <c r="E26" s="386"/>
      <c r="F26" s="386"/>
      <c r="G26" s="386"/>
      <c r="H26" s="386"/>
      <c r="I26" s="386"/>
      <c r="J26" s="387"/>
      <c r="K26" s="388"/>
      <c r="L26" s="386"/>
      <c r="M26" s="389"/>
      <c r="N26" s="82"/>
      <c r="O26" s="82"/>
      <c r="P26" s="82"/>
      <c r="Q26" s="82"/>
      <c r="R26" s="82"/>
      <c r="S26" s="82"/>
      <c r="T26" s="82"/>
      <c r="U26" s="82"/>
      <c r="V26" s="82"/>
      <c r="W26" s="82"/>
      <c r="X26" s="82"/>
      <c r="Y26" s="82"/>
      <c r="Z26" s="82"/>
      <c r="AA26" s="82"/>
      <c r="AB26" s="73"/>
      <c r="AJ26" s="81"/>
    </row>
    <row r="27" spans="2:36" ht="3" customHeight="1">
      <c r="B27" s="390"/>
      <c r="C27" s="245"/>
      <c r="D27" s="245"/>
      <c r="E27" s="245"/>
      <c r="F27" s="245"/>
      <c r="G27" s="245"/>
      <c r="H27" s="245"/>
      <c r="I27" s="245"/>
      <c r="J27" s="245"/>
      <c r="K27" s="245"/>
      <c r="L27" s="245"/>
      <c r="M27" s="391"/>
      <c r="N27" s="82"/>
      <c r="O27" s="82"/>
      <c r="P27" s="82"/>
      <c r="Q27" s="82"/>
      <c r="R27" s="82"/>
      <c r="S27" s="82"/>
      <c r="T27" s="82"/>
      <c r="U27" s="82"/>
      <c r="V27" s="82"/>
      <c r="W27" s="82"/>
      <c r="X27" s="82"/>
      <c r="Y27" s="82"/>
      <c r="Z27" s="82"/>
      <c r="AA27" s="82"/>
      <c r="AB27" s="73"/>
      <c r="AC27" s="73"/>
      <c r="AJ27" s="81"/>
    </row>
    <row r="28" spans="2:37" ht="15.75" customHeight="1">
      <c r="B28" s="711" t="s">
        <v>396</v>
      </c>
      <c r="C28" s="712"/>
      <c r="D28" s="712"/>
      <c r="E28" s="712"/>
      <c r="F28" s="712"/>
      <c r="G28" s="712"/>
      <c r="H28" s="712"/>
      <c r="I28" s="712"/>
      <c r="J28" s="712"/>
      <c r="K28" s="712"/>
      <c r="L28" s="712"/>
      <c r="M28" s="713"/>
      <c r="N28" s="392"/>
      <c r="O28" s="392"/>
      <c r="P28" s="392"/>
      <c r="Q28" s="392"/>
      <c r="R28" s="392"/>
      <c r="S28" s="392"/>
      <c r="T28" s="392"/>
      <c r="U28" s="392"/>
      <c r="V28" s="392"/>
      <c r="W28" s="392"/>
      <c r="X28" s="392"/>
      <c r="Y28" s="392"/>
      <c r="Z28" s="392"/>
      <c r="AA28" s="392"/>
      <c r="AB28" s="142"/>
      <c r="AC28" s="85"/>
      <c r="AD28" s="85"/>
      <c r="AE28" s="85"/>
      <c r="AF28" s="85"/>
      <c r="AG28" s="85"/>
      <c r="AH28" s="85"/>
      <c r="AJ28" s="81"/>
      <c r="AK28" s="85"/>
    </row>
    <row r="29" spans="2:37" ht="12.75" customHeight="1">
      <c r="B29" s="681" t="s">
        <v>397</v>
      </c>
      <c r="C29" s="682"/>
      <c r="D29" s="682"/>
      <c r="E29" s="682"/>
      <c r="F29" s="682"/>
      <c r="G29" s="682"/>
      <c r="H29" s="682"/>
      <c r="I29" s="682"/>
      <c r="J29" s="682"/>
      <c r="K29" s="682"/>
      <c r="L29" s="682"/>
      <c r="M29" s="696"/>
      <c r="N29" s="77"/>
      <c r="O29" s="77"/>
      <c r="P29" s="77"/>
      <c r="Q29" s="77"/>
      <c r="R29" s="77"/>
      <c r="S29" s="77"/>
      <c r="T29" s="77"/>
      <c r="U29" s="77"/>
      <c r="V29" s="77"/>
      <c r="W29" s="77"/>
      <c r="X29" s="77"/>
      <c r="Y29" s="77"/>
      <c r="Z29" s="77"/>
      <c r="AA29" s="77"/>
      <c r="AB29" s="74"/>
      <c r="AC29" s="82"/>
      <c r="AD29" s="82"/>
      <c r="AE29" s="82"/>
      <c r="AF29" s="82"/>
      <c r="AG29" s="82"/>
      <c r="AH29" s="82"/>
      <c r="AJ29" s="81"/>
      <c r="AK29" s="82"/>
    </row>
    <row r="30" spans="2:36" ht="3" customHeight="1">
      <c r="B30" s="390"/>
      <c r="C30" s="245"/>
      <c r="D30" s="245"/>
      <c r="E30" s="245"/>
      <c r="F30" s="245"/>
      <c r="G30" s="245"/>
      <c r="H30" s="245"/>
      <c r="I30" s="245"/>
      <c r="J30" s="245"/>
      <c r="K30" s="245"/>
      <c r="L30" s="245"/>
      <c r="M30" s="391"/>
      <c r="N30" s="82"/>
      <c r="O30" s="82"/>
      <c r="P30" s="82"/>
      <c r="Q30" s="82"/>
      <c r="R30" s="82"/>
      <c r="S30" s="82"/>
      <c r="T30" s="82"/>
      <c r="U30" s="82"/>
      <c r="V30" s="82"/>
      <c r="W30" s="82"/>
      <c r="X30" s="82"/>
      <c r="Y30" s="82"/>
      <c r="Z30" s="82"/>
      <c r="AA30" s="82"/>
      <c r="AB30" s="73"/>
      <c r="AC30" s="73"/>
      <c r="AJ30" s="81"/>
    </row>
    <row r="31" spans="2:36" ht="15.75" customHeight="1">
      <c r="B31" s="393" t="s">
        <v>398</v>
      </c>
      <c r="C31" s="714" t="s">
        <v>399</v>
      </c>
      <c r="D31" s="688"/>
      <c r="E31" s="395" t="s">
        <v>400</v>
      </c>
      <c r="F31" s="394" t="s">
        <v>401</v>
      </c>
      <c r="G31" s="394" t="s">
        <v>402</v>
      </c>
      <c r="H31" s="714" t="s">
        <v>403</v>
      </c>
      <c r="I31" s="715"/>
      <c r="J31" s="396" t="s">
        <v>404</v>
      </c>
      <c r="K31" s="396" t="s">
        <v>405</v>
      </c>
      <c r="L31" s="714" t="s">
        <v>406</v>
      </c>
      <c r="M31" s="689"/>
      <c r="N31" s="143"/>
      <c r="O31" s="143"/>
      <c r="P31" s="143"/>
      <c r="Q31" s="143"/>
      <c r="R31" s="143"/>
      <c r="S31" s="143"/>
      <c r="T31" s="143"/>
      <c r="U31" s="143"/>
      <c r="V31" s="143"/>
      <c r="W31" s="143"/>
      <c r="X31" s="143"/>
      <c r="Y31" s="143"/>
      <c r="Z31" s="143"/>
      <c r="AA31" s="143"/>
      <c r="AB31" s="143"/>
      <c r="AJ31" s="81"/>
    </row>
    <row r="32" spans="2:36" ht="15.75" customHeight="1">
      <c r="B32" s="397" t="s">
        <v>407</v>
      </c>
      <c r="C32" s="707" t="s">
        <v>240</v>
      </c>
      <c r="D32" s="602"/>
      <c r="E32" s="399" t="s">
        <v>240</v>
      </c>
      <c r="F32" s="398" t="s">
        <v>408</v>
      </c>
      <c r="G32" s="398" t="s">
        <v>409</v>
      </c>
      <c r="H32" s="707" t="s">
        <v>410</v>
      </c>
      <c r="I32" s="708"/>
      <c r="J32" s="400" t="s">
        <v>411</v>
      </c>
      <c r="K32" s="400" t="s">
        <v>412</v>
      </c>
      <c r="L32" s="707" t="s">
        <v>413</v>
      </c>
      <c r="M32" s="709"/>
      <c r="N32" s="143"/>
      <c r="O32" s="143"/>
      <c r="P32" s="143"/>
      <c r="Q32" s="143"/>
      <c r="R32" s="143"/>
      <c r="S32" s="143"/>
      <c r="T32" s="143"/>
      <c r="U32" s="143"/>
      <c r="V32" s="143"/>
      <c r="W32" s="143"/>
      <c r="X32" s="143"/>
      <c r="Y32" s="143"/>
      <c r="Z32" s="143"/>
      <c r="AA32" s="143"/>
      <c r="AB32" s="143"/>
      <c r="AD32" s="141"/>
      <c r="AE32" s="129"/>
      <c r="AF32" s="129"/>
      <c r="AG32" s="130"/>
      <c r="AJ32" s="81"/>
    </row>
    <row r="33" spans="2:36" ht="15.75" customHeight="1">
      <c r="B33" s="401"/>
      <c r="C33" s="716"/>
      <c r="D33" s="717"/>
      <c r="E33" s="402"/>
      <c r="F33" s="402" t="s">
        <v>240</v>
      </c>
      <c r="G33" s="402" t="s">
        <v>240</v>
      </c>
      <c r="H33" s="716"/>
      <c r="I33" s="718"/>
      <c r="J33" s="404" t="s">
        <v>414</v>
      </c>
      <c r="K33" s="404" t="s">
        <v>409</v>
      </c>
      <c r="L33" s="716" t="s">
        <v>415</v>
      </c>
      <c r="M33" s="719"/>
      <c r="N33" s="143"/>
      <c r="O33" s="143"/>
      <c r="P33" s="143"/>
      <c r="Q33" s="143"/>
      <c r="R33" s="143"/>
      <c r="S33" s="143"/>
      <c r="T33" s="143"/>
      <c r="U33" s="143"/>
      <c r="V33" s="143"/>
      <c r="W33" s="143"/>
      <c r="X33" s="143"/>
      <c r="Y33" s="143"/>
      <c r="Z33" s="143"/>
      <c r="AA33" s="143"/>
      <c r="AB33" s="143"/>
      <c r="AD33" s="141"/>
      <c r="AE33" s="129"/>
      <c r="AF33" s="129"/>
      <c r="AG33" s="130"/>
      <c r="AJ33" s="89"/>
    </row>
    <row r="34" spans="2:36" ht="15.75" customHeight="1">
      <c r="B34" s="406">
        <v>1</v>
      </c>
      <c r="C34" s="402"/>
      <c r="D34" s="403"/>
      <c r="E34" s="402"/>
      <c r="F34" s="402"/>
      <c r="G34" s="402"/>
      <c r="H34" s="402"/>
      <c r="I34" s="404"/>
      <c r="J34" s="404"/>
      <c r="K34" s="404"/>
      <c r="L34" s="402"/>
      <c r="M34" s="405"/>
      <c r="N34" s="143"/>
      <c r="O34" s="143"/>
      <c r="P34" s="143"/>
      <c r="Q34" s="143"/>
      <c r="R34" s="143"/>
      <c r="S34" s="143"/>
      <c r="T34" s="143"/>
      <c r="U34" s="143"/>
      <c r="V34" s="143"/>
      <c r="W34" s="143"/>
      <c r="X34" s="143"/>
      <c r="Y34" s="143"/>
      <c r="Z34" s="143"/>
      <c r="AA34" s="143"/>
      <c r="AB34" s="143"/>
      <c r="AD34" s="141"/>
      <c r="AE34" s="129"/>
      <c r="AF34" s="129"/>
      <c r="AG34" s="130"/>
      <c r="AJ34" s="89"/>
    </row>
    <row r="35" spans="2:36" ht="15.75" customHeight="1">
      <c r="B35" s="406">
        <v>2</v>
      </c>
      <c r="C35" s="402"/>
      <c r="D35" s="403"/>
      <c r="E35" s="402"/>
      <c r="F35" s="402"/>
      <c r="G35" s="402"/>
      <c r="H35" s="402"/>
      <c r="I35" s="404"/>
      <c r="J35" s="404"/>
      <c r="K35" s="404"/>
      <c r="L35" s="402"/>
      <c r="M35" s="405"/>
      <c r="N35" s="143"/>
      <c r="O35" s="143"/>
      <c r="P35" s="143"/>
      <c r="Q35" s="143"/>
      <c r="R35" s="143"/>
      <c r="S35" s="143"/>
      <c r="T35" s="143"/>
      <c r="U35" s="143"/>
      <c r="V35" s="143"/>
      <c r="W35" s="143"/>
      <c r="X35" s="143"/>
      <c r="Y35" s="143"/>
      <c r="Z35" s="143"/>
      <c r="AA35" s="143"/>
      <c r="AB35" s="143"/>
      <c r="AD35" s="141"/>
      <c r="AE35" s="129"/>
      <c r="AF35" s="129"/>
      <c r="AG35" s="130"/>
      <c r="AJ35" s="89"/>
    </row>
    <row r="36" spans="2:36" ht="15.75" customHeight="1">
      <c r="B36" s="406">
        <v>3</v>
      </c>
      <c r="C36" s="402"/>
      <c r="D36" s="403"/>
      <c r="E36" s="402"/>
      <c r="F36" s="402"/>
      <c r="G36" s="402"/>
      <c r="H36" s="402"/>
      <c r="I36" s="404"/>
      <c r="J36" s="404"/>
      <c r="K36" s="404"/>
      <c r="L36" s="402"/>
      <c r="M36" s="405"/>
      <c r="N36" s="143"/>
      <c r="O36" s="143"/>
      <c r="P36" s="143"/>
      <c r="Q36" s="143"/>
      <c r="R36" s="143"/>
      <c r="S36" s="143"/>
      <c r="T36" s="143"/>
      <c r="U36" s="143"/>
      <c r="V36" s="143"/>
      <c r="W36" s="143"/>
      <c r="X36" s="143"/>
      <c r="Y36" s="143"/>
      <c r="Z36" s="143"/>
      <c r="AA36" s="143"/>
      <c r="AB36" s="143"/>
      <c r="AD36" s="141"/>
      <c r="AE36" s="129"/>
      <c r="AF36" s="129"/>
      <c r="AG36" s="130"/>
      <c r="AJ36" s="89"/>
    </row>
    <row r="37" spans="2:36" ht="15.75" customHeight="1">
      <c r="B37" s="406">
        <v>4</v>
      </c>
      <c r="C37" s="402"/>
      <c r="D37" s="403"/>
      <c r="E37" s="402"/>
      <c r="F37" s="402"/>
      <c r="G37" s="402"/>
      <c r="H37" s="402"/>
      <c r="I37" s="404"/>
      <c r="J37" s="404"/>
      <c r="K37" s="404"/>
      <c r="L37" s="402"/>
      <c r="M37" s="405"/>
      <c r="N37" s="143"/>
      <c r="O37" s="143"/>
      <c r="P37" s="143"/>
      <c r="Q37" s="143"/>
      <c r="R37" s="143"/>
      <c r="S37" s="143"/>
      <c r="T37" s="143"/>
      <c r="U37" s="143"/>
      <c r="V37" s="143"/>
      <c r="W37" s="143"/>
      <c r="X37" s="143"/>
      <c r="Y37" s="143"/>
      <c r="Z37" s="143"/>
      <c r="AA37" s="143"/>
      <c r="AB37" s="143"/>
      <c r="AD37" s="141"/>
      <c r="AE37" s="129"/>
      <c r="AF37" s="129"/>
      <c r="AG37" s="130"/>
      <c r="AJ37" s="89"/>
    </row>
    <row r="38" spans="2:36" ht="15.75" customHeight="1">
      <c r="B38" s="406">
        <v>5</v>
      </c>
      <c r="C38" s="402"/>
      <c r="D38" s="403"/>
      <c r="E38" s="402"/>
      <c r="F38" s="402"/>
      <c r="G38" s="402"/>
      <c r="H38" s="402"/>
      <c r="I38" s="404"/>
      <c r="J38" s="404"/>
      <c r="K38" s="404"/>
      <c r="L38" s="402"/>
      <c r="M38" s="405"/>
      <c r="N38" s="143"/>
      <c r="O38" s="143"/>
      <c r="P38" s="143"/>
      <c r="Q38" s="143"/>
      <c r="R38" s="143"/>
      <c r="S38" s="143"/>
      <c r="T38" s="143"/>
      <c r="U38" s="143"/>
      <c r="V38" s="143"/>
      <c r="W38" s="143"/>
      <c r="X38" s="143"/>
      <c r="Y38" s="143"/>
      <c r="Z38" s="143"/>
      <c r="AA38" s="143"/>
      <c r="AB38" s="143"/>
      <c r="AD38" s="141"/>
      <c r="AE38" s="129"/>
      <c r="AF38" s="129"/>
      <c r="AG38" s="130"/>
      <c r="AJ38" s="89"/>
    </row>
    <row r="39" spans="2:36" ht="15.75" customHeight="1">
      <c r="B39" s="406">
        <v>6</v>
      </c>
      <c r="C39" s="720"/>
      <c r="D39" s="721"/>
      <c r="E39" s="407"/>
      <c r="F39" s="409"/>
      <c r="G39" s="409"/>
      <c r="H39" s="720"/>
      <c r="I39" s="722"/>
      <c r="J39" s="410"/>
      <c r="K39" s="410"/>
      <c r="L39" s="720"/>
      <c r="M39" s="723"/>
      <c r="N39" s="77"/>
      <c r="O39" s="77"/>
      <c r="P39" s="77"/>
      <c r="Q39" s="77"/>
      <c r="R39" s="77"/>
      <c r="S39" s="77"/>
      <c r="T39" s="77"/>
      <c r="U39" s="77"/>
      <c r="V39" s="77"/>
      <c r="W39" s="77"/>
      <c r="X39" s="77"/>
      <c r="Y39" s="77"/>
      <c r="Z39" s="77"/>
      <c r="AA39" s="77"/>
      <c r="AB39" s="74"/>
      <c r="AD39" s="141"/>
      <c r="AE39" s="129"/>
      <c r="AF39" s="129"/>
      <c r="AG39" s="130"/>
      <c r="AJ39" s="89"/>
    </row>
    <row r="40" spans="2:36" ht="15.75" customHeight="1">
      <c r="B40" s="406">
        <v>7</v>
      </c>
      <c r="C40" s="407"/>
      <c r="D40" s="408"/>
      <c r="E40" s="407"/>
      <c r="F40" s="409"/>
      <c r="G40" s="409"/>
      <c r="H40" s="407"/>
      <c r="I40" s="410"/>
      <c r="J40" s="410"/>
      <c r="K40" s="410"/>
      <c r="L40" s="407"/>
      <c r="M40" s="411"/>
      <c r="N40" s="77"/>
      <c r="O40" s="77"/>
      <c r="P40" s="77"/>
      <c r="Q40" s="77"/>
      <c r="R40" s="77"/>
      <c r="S40" s="77"/>
      <c r="T40" s="77"/>
      <c r="U40" s="77"/>
      <c r="V40" s="77"/>
      <c r="W40" s="77"/>
      <c r="X40" s="77"/>
      <c r="Y40" s="77"/>
      <c r="Z40" s="77"/>
      <c r="AA40" s="77"/>
      <c r="AB40" s="74"/>
      <c r="AD40" s="141"/>
      <c r="AE40" s="129"/>
      <c r="AF40" s="129"/>
      <c r="AG40" s="130"/>
      <c r="AJ40" s="89"/>
    </row>
    <row r="41" spans="2:36" ht="15.75" customHeight="1">
      <c r="B41" s="406">
        <v>8</v>
      </c>
      <c r="C41" s="720"/>
      <c r="D41" s="721"/>
      <c r="E41" s="407"/>
      <c r="F41" s="412"/>
      <c r="G41" s="412"/>
      <c r="H41" s="720"/>
      <c r="I41" s="722"/>
      <c r="J41" s="410"/>
      <c r="K41" s="410"/>
      <c r="L41" s="720"/>
      <c r="M41" s="723"/>
      <c r="N41" s="77"/>
      <c r="O41" s="77"/>
      <c r="P41" s="77"/>
      <c r="Q41" s="77"/>
      <c r="R41" s="77"/>
      <c r="S41" s="77"/>
      <c r="T41" s="77"/>
      <c r="U41" s="77"/>
      <c r="V41" s="77"/>
      <c r="W41" s="77"/>
      <c r="X41" s="77"/>
      <c r="Y41" s="77"/>
      <c r="Z41" s="77"/>
      <c r="AA41" s="77"/>
      <c r="AB41" s="74"/>
      <c r="AD41" s="141"/>
      <c r="AE41" s="129"/>
      <c r="AF41" s="129"/>
      <c r="AG41" s="130"/>
      <c r="AJ41" s="89"/>
    </row>
    <row r="42" spans="2:36" ht="15.75" customHeight="1">
      <c r="B42" s="406">
        <v>9</v>
      </c>
      <c r="C42" s="407"/>
      <c r="D42" s="408"/>
      <c r="E42" s="407"/>
      <c r="F42" s="412"/>
      <c r="G42" s="412"/>
      <c r="H42" s="407"/>
      <c r="I42" s="410"/>
      <c r="J42" s="410"/>
      <c r="K42" s="410"/>
      <c r="L42" s="407"/>
      <c r="M42" s="411"/>
      <c r="N42" s="77"/>
      <c r="O42" s="77"/>
      <c r="P42" s="77"/>
      <c r="Q42" s="77"/>
      <c r="R42" s="77"/>
      <c r="S42" s="77"/>
      <c r="T42" s="77"/>
      <c r="U42" s="77"/>
      <c r="V42" s="77"/>
      <c r="W42" s="77"/>
      <c r="X42" s="77"/>
      <c r="Y42" s="77"/>
      <c r="Z42" s="77"/>
      <c r="AA42" s="77"/>
      <c r="AB42" s="74"/>
      <c r="AD42" s="141"/>
      <c r="AE42" s="129"/>
      <c r="AF42" s="129"/>
      <c r="AG42" s="130"/>
      <c r="AJ42" s="89"/>
    </row>
    <row r="43" spans="2:36" ht="15.75" customHeight="1">
      <c r="B43" s="406">
        <v>10</v>
      </c>
      <c r="C43" s="407"/>
      <c r="D43" s="408"/>
      <c r="E43" s="407"/>
      <c r="F43" s="412"/>
      <c r="G43" s="412"/>
      <c r="H43" s="407"/>
      <c r="I43" s="410"/>
      <c r="J43" s="410"/>
      <c r="K43" s="410"/>
      <c r="L43" s="407"/>
      <c r="M43" s="411"/>
      <c r="N43" s="77"/>
      <c r="O43" s="77"/>
      <c r="P43" s="77"/>
      <c r="Q43" s="77"/>
      <c r="R43" s="77"/>
      <c r="S43" s="77"/>
      <c r="T43" s="77"/>
      <c r="U43" s="77"/>
      <c r="V43" s="77"/>
      <c r="W43" s="77"/>
      <c r="X43" s="77"/>
      <c r="Y43" s="77"/>
      <c r="Z43" s="77"/>
      <c r="AA43" s="77"/>
      <c r="AB43" s="74"/>
      <c r="AD43" s="141"/>
      <c r="AE43" s="129"/>
      <c r="AF43" s="129"/>
      <c r="AG43" s="130"/>
      <c r="AJ43" s="89"/>
    </row>
    <row r="44" spans="2:36" ht="15.75" customHeight="1">
      <c r="B44" s="406">
        <v>11</v>
      </c>
      <c r="C44" s="720"/>
      <c r="D44" s="722"/>
      <c r="E44" s="407"/>
      <c r="F44" s="412"/>
      <c r="G44" s="412"/>
      <c r="H44" s="720"/>
      <c r="I44" s="722"/>
      <c r="J44" s="410"/>
      <c r="K44" s="410"/>
      <c r="L44" s="720"/>
      <c r="M44" s="723"/>
      <c r="N44" s="77"/>
      <c r="O44" s="77"/>
      <c r="P44" s="77"/>
      <c r="Q44" s="77"/>
      <c r="R44" s="77"/>
      <c r="S44" s="77"/>
      <c r="T44" s="77"/>
      <c r="U44" s="77"/>
      <c r="V44" s="77"/>
      <c r="W44" s="77"/>
      <c r="X44" s="77"/>
      <c r="Y44" s="77"/>
      <c r="Z44" s="77"/>
      <c r="AA44" s="77"/>
      <c r="AB44" s="74"/>
      <c r="AD44" s="141"/>
      <c r="AE44" s="129"/>
      <c r="AF44" s="129"/>
      <c r="AG44" s="130"/>
      <c r="AJ44" s="89"/>
    </row>
    <row r="45" spans="2:33" ht="15.75" customHeight="1">
      <c r="B45" s="406">
        <v>12</v>
      </c>
      <c r="C45" s="720"/>
      <c r="D45" s="722"/>
      <c r="E45" s="407"/>
      <c r="F45" s="412"/>
      <c r="G45" s="412"/>
      <c r="H45" s="720"/>
      <c r="I45" s="722"/>
      <c r="J45" s="410"/>
      <c r="K45" s="410"/>
      <c r="L45" s="720"/>
      <c r="M45" s="723"/>
      <c r="N45" s="77"/>
      <c r="O45" s="77"/>
      <c r="P45" s="77"/>
      <c r="Q45" s="77"/>
      <c r="R45" s="77"/>
      <c r="S45" s="77"/>
      <c r="T45" s="77"/>
      <c r="U45" s="77"/>
      <c r="V45" s="77"/>
      <c r="W45" s="77"/>
      <c r="X45" s="77"/>
      <c r="Y45" s="77"/>
      <c r="Z45" s="77"/>
      <c r="AA45" s="77"/>
      <c r="AB45" s="74"/>
      <c r="AD45" s="141"/>
      <c r="AE45" s="129" t="str">
        <f>DATA!C26</f>
        <v>R.Narasimharao</v>
      </c>
      <c r="AF45" s="129"/>
      <c r="AG45" s="130"/>
    </row>
    <row r="46" spans="2:33" ht="6" customHeight="1">
      <c r="B46" s="390"/>
      <c r="C46" s="245"/>
      <c r="D46" s="245"/>
      <c r="E46" s="245"/>
      <c r="F46" s="245"/>
      <c r="G46" s="245"/>
      <c r="H46" s="688"/>
      <c r="I46" s="688"/>
      <c r="J46" s="245"/>
      <c r="K46" s="245"/>
      <c r="L46" s="245"/>
      <c r="M46" s="391"/>
      <c r="N46" s="82"/>
      <c r="O46" s="82"/>
      <c r="P46" s="82"/>
      <c r="Q46" s="82"/>
      <c r="R46" s="82"/>
      <c r="S46" s="82"/>
      <c r="T46" s="82"/>
      <c r="U46" s="82"/>
      <c r="V46" s="82"/>
      <c r="W46" s="82"/>
      <c r="X46" s="82"/>
      <c r="Y46" s="82"/>
      <c r="Z46" s="82"/>
      <c r="AA46" s="82"/>
      <c r="AB46" s="73"/>
      <c r="AD46" s="141"/>
      <c r="AE46" s="129" t="str">
        <f>DATA!C27</f>
        <v>Mandal Educational Officer</v>
      </c>
      <c r="AF46" s="129"/>
      <c r="AG46" s="130"/>
    </row>
    <row r="47" spans="2:38" ht="15.75" customHeight="1">
      <c r="B47" s="725" t="str">
        <f>AE50</f>
        <v>          I R.Narasimharao working as Mandal Educational Officer do  hereby  certify  that  the  sum  of Rs. 0/- Rupees in words (Zero rupees only) deducted   at  source   and  paid  to  the credit  of the central Government.   I  further certify  that  the  Informtion givin above is true and  correct based on the books of account, documents and other available records.</v>
      </c>
      <c r="C47" s="726"/>
      <c r="D47" s="726"/>
      <c r="E47" s="726"/>
      <c r="F47" s="726"/>
      <c r="G47" s="726"/>
      <c r="H47" s="726"/>
      <c r="I47" s="726"/>
      <c r="J47" s="726"/>
      <c r="K47" s="726"/>
      <c r="L47" s="726"/>
      <c r="M47" s="727"/>
      <c r="N47" s="73"/>
      <c r="O47" s="73"/>
      <c r="P47" s="73"/>
      <c r="Q47" s="73"/>
      <c r="R47" s="73"/>
      <c r="S47" s="73"/>
      <c r="T47" s="73"/>
      <c r="U47" s="73"/>
      <c r="V47" s="73"/>
      <c r="W47" s="73"/>
      <c r="X47" s="73"/>
      <c r="Y47" s="73"/>
      <c r="Z47" s="73"/>
      <c r="AA47" s="73"/>
      <c r="AB47" s="83"/>
      <c r="AC47" s="85"/>
      <c r="AD47" s="137"/>
      <c r="AE47" s="144" t="str">
        <f>CONCATENATE(AB50,"",AC50)</f>
        <v>0/-</v>
      </c>
      <c r="AF47" s="85"/>
      <c r="AG47" s="85"/>
      <c r="AH47" s="85"/>
      <c r="AI47" s="85"/>
      <c r="AJ47" s="85"/>
      <c r="AK47" s="145"/>
      <c r="AL47" s="73"/>
    </row>
    <row r="48" spans="2:38" ht="15.75" customHeight="1">
      <c r="B48" s="725"/>
      <c r="C48" s="726"/>
      <c r="D48" s="726"/>
      <c r="E48" s="726"/>
      <c r="F48" s="726"/>
      <c r="G48" s="726"/>
      <c r="H48" s="726"/>
      <c r="I48" s="726"/>
      <c r="J48" s="726"/>
      <c r="K48" s="726"/>
      <c r="L48" s="726"/>
      <c r="M48" s="727"/>
      <c r="N48" s="83"/>
      <c r="O48" s="83"/>
      <c r="P48" s="83"/>
      <c r="Q48" s="83"/>
      <c r="R48" s="83"/>
      <c r="S48" s="83"/>
      <c r="T48" s="83"/>
      <c r="U48" s="83"/>
      <c r="V48" s="83"/>
      <c r="W48" s="83"/>
      <c r="X48" s="83"/>
      <c r="Y48" s="83"/>
      <c r="Z48" s="83"/>
      <c r="AA48" s="83"/>
      <c r="AB48" s="122"/>
      <c r="AC48" s="85"/>
      <c r="AD48" s="85"/>
      <c r="AE48" s="85"/>
      <c r="AF48" s="85"/>
      <c r="AG48" s="85"/>
      <c r="AH48" s="85"/>
      <c r="AI48" s="85"/>
      <c r="AJ48" s="85"/>
      <c r="AK48" s="85"/>
      <c r="AL48" s="73"/>
    </row>
    <row r="49" spans="2:38" ht="15.75" customHeight="1">
      <c r="B49" s="725"/>
      <c r="C49" s="726"/>
      <c r="D49" s="726"/>
      <c r="E49" s="726"/>
      <c r="F49" s="726"/>
      <c r="G49" s="726"/>
      <c r="H49" s="726"/>
      <c r="I49" s="726"/>
      <c r="J49" s="726"/>
      <c r="K49" s="726"/>
      <c r="L49" s="726"/>
      <c r="M49" s="727"/>
      <c r="N49" s="413"/>
      <c r="O49" s="413"/>
      <c r="P49" s="413"/>
      <c r="Q49" s="413"/>
      <c r="R49" s="413"/>
      <c r="S49" s="413"/>
      <c r="T49" s="413"/>
      <c r="U49" s="413"/>
      <c r="V49" s="413"/>
      <c r="W49" s="413"/>
      <c r="X49" s="413"/>
      <c r="Y49" s="413"/>
      <c r="Z49" s="413"/>
      <c r="AA49" s="413"/>
      <c r="AB49" s="74" t="s">
        <v>240</v>
      </c>
      <c r="AC49" s="72"/>
      <c r="AD49" s="72"/>
      <c r="AE49" s="72"/>
      <c r="AF49" s="72"/>
      <c r="AG49" s="72"/>
      <c r="AH49" s="72"/>
      <c r="AI49" s="72"/>
      <c r="AJ49" s="72"/>
      <c r="AK49" s="101"/>
      <c r="AL49" s="73"/>
    </row>
    <row r="50" spans="2:38" ht="15.75" customHeight="1">
      <c r="B50" s="725"/>
      <c r="C50" s="726"/>
      <c r="D50" s="726"/>
      <c r="E50" s="726"/>
      <c r="F50" s="726"/>
      <c r="G50" s="726"/>
      <c r="H50" s="726"/>
      <c r="I50" s="726"/>
      <c r="J50" s="726"/>
      <c r="K50" s="726"/>
      <c r="L50" s="726"/>
      <c r="M50" s="727"/>
      <c r="N50" s="83"/>
      <c r="O50" s="83"/>
      <c r="P50" s="83"/>
      <c r="Q50" s="83"/>
      <c r="R50" s="83"/>
      <c r="S50" s="83"/>
      <c r="T50" s="83"/>
      <c r="U50" s="83"/>
      <c r="V50" s="83"/>
      <c r="W50" s="83"/>
      <c r="X50" s="83"/>
      <c r="Y50" s="83"/>
      <c r="Z50" s="83"/>
      <c r="AA50" s="83"/>
      <c r="AB50" s="145">
        <f>M25</f>
        <v>0</v>
      </c>
      <c r="AC50" s="85" t="s">
        <v>416</v>
      </c>
      <c r="AD50" s="85" t="str">
        <f>CONCATENATE(AB49," ",C49)</f>
        <v>Rs. </v>
      </c>
      <c r="AE50" s="85" t="str">
        <f>CONCATENATE("          I ",AE45," working as ",AE46," do  hereby  certify  that  the  sum  of Rs. ",AE47," Rupees in words ",AD53," deducted   at  source   and  paid  to  the credit  of the central Government.   I  further certify  that  the  Informtion givin above is true and  correct based on the books of account, documents and other available records.")</f>
        <v>          I R.Narasimharao working as Mandal Educational Officer do  hereby  certify  that  the  sum  of Rs. 0/- Rupees in words (Zero rupees only) deducted   at  source   and  paid  to  the credit  of the central Government.   I  further certify  that  the  Informtion givin above is true and  correct based on the books of account, documents and other available records.</v>
      </c>
      <c r="AF50" s="85"/>
      <c r="AG50" s="85"/>
      <c r="AH50" s="85"/>
      <c r="AI50" s="85"/>
      <c r="AJ50" s="85"/>
      <c r="AK50" s="85"/>
      <c r="AL50" s="73"/>
    </row>
    <row r="51" spans="2:38" ht="12.75" customHeight="1">
      <c r="B51" s="725"/>
      <c r="C51" s="726"/>
      <c r="D51" s="726"/>
      <c r="E51" s="726"/>
      <c r="F51" s="726"/>
      <c r="G51" s="726"/>
      <c r="H51" s="726"/>
      <c r="I51" s="726"/>
      <c r="J51" s="726"/>
      <c r="K51" s="726"/>
      <c r="L51" s="726"/>
      <c r="M51" s="727"/>
      <c r="N51" s="83"/>
      <c r="O51" s="83"/>
      <c r="P51" s="83"/>
      <c r="Q51" s="83"/>
      <c r="R51" s="83"/>
      <c r="S51" s="83"/>
      <c r="T51" s="83"/>
      <c r="U51" s="83"/>
      <c r="V51" s="83"/>
      <c r="W51" s="83"/>
      <c r="X51" s="83"/>
      <c r="Y51" s="83"/>
      <c r="Z51" s="83"/>
      <c r="AA51" s="83"/>
      <c r="AB51" s="122"/>
      <c r="AC51" s="85"/>
      <c r="AD51" s="85"/>
      <c r="AE51" s="85"/>
      <c r="AF51" s="85"/>
      <c r="AG51" s="85"/>
      <c r="AH51" s="85"/>
      <c r="AI51" s="85"/>
      <c r="AJ51" s="85"/>
      <c r="AK51" s="85"/>
      <c r="AL51" s="73"/>
    </row>
    <row r="52" spans="2:38" ht="10.5" customHeight="1">
      <c r="B52" s="414"/>
      <c r="C52" s="232"/>
      <c r="D52" s="232"/>
      <c r="E52" s="232"/>
      <c r="F52" s="232"/>
      <c r="G52" s="232"/>
      <c r="H52" s="232"/>
      <c r="I52" s="232"/>
      <c r="J52" s="232"/>
      <c r="K52" s="232"/>
      <c r="L52" s="232"/>
      <c r="M52" s="415"/>
      <c r="N52" s="84"/>
      <c r="O52" s="84"/>
      <c r="P52" s="84"/>
      <c r="Q52" s="84"/>
      <c r="R52" s="84"/>
      <c r="S52" s="84"/>
      <c r="T52" s="84"/>
      <c r="U52" s="84"/>
      <c r="V52" s="84"/>
      <c r="W52" s="84"/>
      <c r="X52" s="84"/>
      <c r="Y52" s="84"/>
      <c r="Z52" s="84"/>
      <c r="AA52" s="84"/>
      <c r="AB52" s="83"/>
      <c r="AC52" s="122"/>
      <c r="AD52" s="122"/>
      <c r="AE52" s="122"/>
      <c r="AF52" s="122"/>
      <c r="AG52" s="122"/>
      <c r="AH52" s="122"/>
      <c r="AI52" s="83"/>
      <c r="AJ52" s="83"/>
      <c r="AK52" s="83"/>
      <c r="AL52" s="73"/>
    </row>
    <row r="53" spans="2:38" ht="15.75" customHeight="1">
      <c r="B53" s="390"/>
      <c r="C53" s="245"/>
      <c r="D53" s="245"/>
      <c r="E53" s="245"/>
      <c r="F53" s="245"/>
      <c r="G53" s="245"/>
      <c r="H53" s="245"/>
      <c r="I53" s="245"/>
      <c r="J53" s="245"/>
      <c r="K53" s="245"/>
      <c r="L53" s="245"/>
      <c r="M53" s="391"/>
      <c r="N53" s="82"/>
      <c r="O53" s="82"/>
      <c r="P53" s="82"/>
      <c r="Q53" s="82"/>
      <c r="R53" s="82"/>
      <c r="S53" s="82"/>
      <c r="T53" s="82"/>
      <c r="U53" s="82"/>
      <c r="V53" s="82"/>
      <c r="W53" s="82"/>
      <c r="X53" s="82"/>
      <c r="Y53" s="82"/>
      <c r="Z53" s="82"/>
      <c r="AA53" s="82"/>
      <c r="AB53" s="73"/>
      <c r="AC53" s="73"/>
      <c r="AD53" s="73" t="str">
        <f>F234</f>
        <v>(Zero rupees only)</v>
      </c>
      <c r="AE53" s="73"/>
      <c r="AF53" s="73"/>
      <c r="AG53" s="73"/>
      <c r="AH53" s="73"/>
      <c r="AI53" s="73"/>
      <c r="AJ53" s="73"/>
      <c r="AK53" s="73"/>
      <c r="AL53" s="73"/>
    </row>
    <row r="54" spans="2:38" ht="15.75" customHeight="1">
      <c r="B54" s="416"/>
      <c r="C54" s="148"/>
      <c r="D54" s="148"/>
      <c r="E54" s="148"/>
      <c r="F54" s="148"/>
      <c r="G54" s="148" t="s">
        <v>417</v>
      </c>
      <c r="H54" s="148"/>
      <c r="I54" s="148"/>
      <c r="J54" s="148"/>
      <c r="K54" s="148"/>
      <c r="L54" s="148"/>
      <c r="M54" s="417"/>
      <c r="N54" s="82"/>
      <c r="O54" s="82"/>
      <c r="P54" s="82"/>
      <c r="Q54" s="82"/>
      <c r="R54" s="82"/>
      <c r="S54" s="82"/>
      <c r="T54" s="82"/>
      <c r="U54" s="82"/>
      <c r="V54" s="82"/>
      <c r="W54" s="82"/>
      <c r="X54" s="82"/>
      <c r="Y54" s="82"/>
      <c r="Z54" s="82"/>
      <c r="AA54" s="82"/>
      <c r="AB54" s="73"/>
      <c r="AC54" s="85"/>
      <c r="AD54" s="85"/>
      <c r="AE54" s="85"/>
      <c r="AF54" s="85"/>
      <c r="AG54" s="85"/>
      <c r="AH54" s="85"/>
      <c r="AI54" s="73"/>
      <c r="AJ54" s="73"/>
      <c r="AK54" s="73"/>
      <c r="AL54" s="73"/>
    </row>
    <row r="55" spans="2:38" ht="6" customHeight="1">
      <c r="B55" s="416"/>
      <c r="C55" s="148"/>
      <c r="D55" s="148"/>
      <c r="E55" s="148"/>
      <c r="F55" s="148"/>
      <c r="G55" s="148"/>
      <c r="H55" s="148"/>
      <c r="I55" s="148"/>
      <c r="J55" s="148"/>
      <c r="K55" s="148"/>
      <c r="L55" s="148"/>
      <c r="M55" s="417"/>
      <c r="N55" s="82"/>
      <c r="O55" s="82"/>
      <c r="P55" s="82"/>
      <c r="Q55" s="82"/>
      <c r="R55" s="82"/>
      <c r="S55" s="82"/>
      <c r="T55" s="82"/>
      <c r="U55" s="82"/>
      <c r="V55" s="82"/>
      <c r="W55" s="82"/>
      <c r="X55" s="82"/>
      <c r="Y55" s="82"/>
      <c r="Z55" s="82"/>
      <c r="AA55" s="82"/>
      <c r="AB55" s="73"/>
      <c r="AC55" s="85"/>
      <c r="AD55" s="85"/>
      <c r="AE55" s="85"/>
      <c r="AF55" s="85"/>
      <c r="AG55" s="85"/>
      <c r="AH55" s="85"/>
      <c r="AI55" s="73"/>
      <c r="AJ55" s="73"/>
      <c r="AK55" s="73"/>
      <c r="AL55" s="73"/>
    </row>
    <row r="56" spans="2:38" ht="12" customHeight="1">
      <c r="B56" s="728" t="s">
        <v>418</v>
      </c>
      <c r="C56" s="589"/>
      <c r="D56" s="148" t="str">
        <f>DATA!L4</f>
        <v>vijayavada</v>
      </c>
      <c r="E56" s="148"/>
      <c r="F56" s="148"/>
      <c r="G56" s="148" t="s">
        <v>419</v>
      </c>
      <c r="H56" s="148"/>
      <c r="I56" s="148"/>
      <c r="J56" s="148"/>
      <c r="K56" s="148"/>
      <c r="L56" s="148"/>
      <c r="M56" s="417"/>
      <c r="N56" s="82"/>
      <c r="O56" s="82"/>
      <c r="P56" s="82"/>
      <c r="Q56" s="82"/>
      <c r="R56" s="82"/>
      <c r="S56" s="82"/>
      <c r="T56" s="82"/>
      <c r="U56" s="82"/>
      <c r="V56" s="82"/>
      <c r="W56" s="82"/>
      <c r="X56" s="82"/>
      <c r="Y56" s="82"/>
      <c r="Z56" s="82"/>
      <c r="AA56" s="82"/>
      <c r="AB56" s="73"/>
      <c r="AC56" s="85"/>
      <c r="AD56" s="85"/>
      <c r="AE56" s="85"/>
      <c r="AF56" s="85"/>
      <c r="AG56" s="85"/>
      <c r="AH56" s="85"/>
      <c r="AI56" s="73"/>
      <c r="AJ56" s="73"/>
      <c r="AK56" s="73"/>
      <c r="AL56" s="73"/>
    </row>
    <row r="57" spans="2:38" ht="12" customHeight="1">
      <c r="B57" s="728" t="s">
        <v>420</v>
      </c>
      <c r="C57" s="589"/>
      <c r="D57" s="729">
        <f ca="1">TODAY()</f>
        <v>40952</v>
      </c>
      <c r="E57" s="729"/>
      <c r="F57" s="230"/>
      <c r="G57" s="230" t="s">
        <v>421</v>
      </c>
      <c r="H57" s="589" t="str">
        <f>DATA!C26</f>
        <v>R.Narasimharao</v>
      </c>
      <c r="I57" s="589"/>
      <c r="J57" s="589"/>
      <c r="K57" s="589"/>
      <c r="L57" s="148"/>
      <c r="M57" s="418"/>
      <c r="N57" s="84"/>
      <c r="O57" s="84"/>
      <c r="P57" s="84"/>
      <c r="Q57" s="84"/>
      <c r="R57" s="84"/>
      <c r="S57" s="84"/>
      <c r="T57" s="84"/>
      <c r="U57" s="84"/>
      <c r="V57" s="84"/>
      <c r="W57" s="84"/>
      <c r="X57" s="84"/>
      <c r="Y57" s="84"/>
      <c r="Z57" s="84"/>
      <c r="AA57" s="84"/>
      <c r="AB57" s="83"/>
      <c r="AC57" s="122"/>
      <c r="AD57" s="122"/>
      <c r="AE57" s="122"/>
      <c r="AF57" s="122"/>
      <c r="AG57" s="122"/>
      <c r="AH57" s="122"/>
      <c r="AI57" s="122"/>
      <c r="AJ57" s="122"/>
      <c r="AK57" s="73"/>
      <c r="AL57" s="73"/>
    </row>
    <row r="58" spans="2:38" ht="12" customHeight="1">
      <c r="B58" s="416"/>
      <c r="C58" s="148"/>
      <c r="D58" s="148"/>
      <c r="E58" s="148"/>
      <c r="F58" s="419"/>
      <c r="G58" s="148" t="s">
        <v>422</v>
      </c>
      <c r="H58" s="589" t="str">
        <f>DATA!C27</f>
        <v>Mandal Educational Officer</v>
      </c>
      <c r="I58" s="589"/>
      <c r="J58" s="589"/>
      <c r="K58" s="589"/>
      <c r="L58" s="148"/>
      <c r="M58" s="418"/>
      <c r="N58" s="84"/>
      <c r="O58" s="84"/>
      <c r="P58" s="84"/>
      <c r="Q58" s="84"/>
      <c r="R58" s="84"/>
      <c r="S58" s="84"/>
      <c r="T58" s="84"/>
      <c r="U58" s="84"/>
      <c r="V58" s="84"/>
      <c r="W58" s="84"/>
      <c r="X58" s="84"/>
      <c r="Y58" s="84"/>
      <c r="Z58" s="84"/>
      <c r="AA58" s="84"/>
      <c r="AB58" s="83"/>
      <c r="AC58" s="122"/>
      <c r="AD58" s="122"/>
      <c r="AE58" s="122"/>
      <c r="AF58" s="122"/>
      <c r="AG58" s="122"/>
      <c r="AH58" s="122"/>
      <c r="AI58" s="122"/>
      <c r="AJ58" s="122"/>
      <c r="AK58" s="73"/>
      <c r="AL58" s="73"/>
    </row>
    <row r="59" spans="2:38" ht="4.5" customHeight="1">
      <c r="B59" s="420"/>
      <c r="C59" s="97"/>
      <c r="D59" s="97"/>
      <c r="E59" s="97"/>
      <c r="F59" s="97"/>
      <c r="G59" s="97"/>
      <c r="H59" s="97"/>
      <c r="I59" s="97"/>
      <c r="J59" s="97"/>
      <c r="K59" s="97"/>
      <c r="L59" s="97"/>
      <c r="M59" s="421"/>
      <c r="N59" s="82"/>
      <c r="O59" s="82"/>
      <c r="P59" s="82"/>
      <c r="Q59" s="82"/>
      <c r="R59" s="82"/>
      <c r="S59" s="82"/>
      <c r="T59" s="82"/>
      <c r="U59" s="82"/>
      <c r="V59" s="82"/>
      <c r="W59" s="82"/>
      <c r="X59" s="82"/>
      <c r="Y59" s="82"/>
      <c r="Z59" s="82"/>
      <c r="AA59" s="82"/>
      <c r="AB59" s="73"/>
      <c r="AC59" s="73"/>
      <c r="AD59" s="73"/>
      <c r="AE59" s="73"/>
      <c r="AF59" s="73"/>
      <c r="AG59" s="73"/>
      <c r="AH59" s="73"/>
      <c r="AI59" s="73"/>
      <c r="AJ59" s="73"/>
      <c r="AK59" s="73"/>
      <c r="AL59" s="73"/>
    </row>
    <row r="60" spans="2:28" ht="16.5" customHeight="1">
      <c r="B60" s="146" t="s">
        <v>578</v>
      </c>
      <c r="C60" s="146"/>
      <c r="D60" s="146"/>
      <c r="E60" s="146"/>
      <c r="F60" s="146"/>
      <c r="G60" s="146"/>
      <c r="H60" s="146"/>
      <c r="I60" s="146"/>
      <c r="J60" s="146"/>
      <c r="K60" s="146"/>
      <c r="L60" s="146"/>
      <c r="M60" s="146"/>
      <c r="N60" s="82"/>
      <c r="O60" s="82"/>
      <c r="P60" s="82"/>
      <c r="Q60" s="82"/>
      <c r="R60" s="82"/>
      <c r="S60" s="82"/>
      <c r="T60" s="82"/>
      <c r="U60" s="82"/>
      <c r="V60" s="82"/>
      <c r="W60" s="82"/>
      <c r="X60" s="82"/>
      <c r="Y60" s="82"/>
      <c r="Z60" s="82"/>
      <c r="AA60" s="82"/>
      <c r="AB60" s="73"/>
    </row>
    <row r="61" spans="2:28" ht="7.5" customHeight="1">
      <c r="B61" s="146"/>
      <c r="C61" s="146"/>
      <c r="D61" s="146"/>
      <c r="E61" s="146"/>
      <c r="F61" s="146"/>
      <c r="G61" s="146"/>
      <c r="H61" s="146"/>
      <c r="I61" s="146"/>
      <c r="J61" s="146"/>
      <c r="K61" s="146"/>
      <c r="L61" s="146"/>
      <c r="M61" s="146"/>
      <c r="N61" s="82"/>
      <c r="O61" s="82"/>
      <c r="P61" s="82"/>
      <c r="Q61" s="82"/>
      <c r="R61" s="82"/>
      <c r="S61" s="82"/>
      <c r="T61" s="82"/>
      <c r="U61" s="82"/>
      <c r="V61" s="82"/>
      <c r="W61" s="82"/>
      <c r="X61" s="82"/>
      <c r="Y61" s="82"/>
      <c r="Z61" s="82"/>
      <c r="AA61" s="82"/>
      <c r="AB61" s="73"/>
    </row>
    <row r="62" spans="2:28" ht="7.5" customHeight="1">
      <c r="B62" s="146"/>
      <c r="C62" s="146"/>
      <c r="D62" s="146"/>
      <c r="E62" s="146"/>
      <c r="F62" s="146"/>
      <c r="G62" s="146"/>
      <c r="H62" s="146"/>
      <c r="I62" s="146"/>
      <c r="J62" s="146"/>
      <c r="K62" s="146"/>
      <c r="L62" s="146"/>
      <c r="M62" s="146"/>
      <c r="N62" s="82"/>
      <c r="O62" s="82"/>
      <c r="P62" s="82"/>
      <c r="Q62" s="82"/>
      <c r="R62" s="82"/>
      <c r="S62" s="82"/>
      <c r="T62" s="82"/>
      <c r="U62" s="82"/>
      <c r="V62" s="82"/>
      <c r="W62" s="82"/>
      <c r="X62" s="82"/>
      <c r="Y62" s="82"/>
      <c r="Z62" s="82"/>
      <c r="AA62" s="82"/>
      <c r="AB62" s="73"/>
    </row>
    <row r="63" spans="2:28" ht="12" customHeight="1">
      <c r="B63" s="146"/>
      <c r="C63" s="146"/>
      <c r="D63" s="146"/>
      <c r="E63" s="146"/>
      <c r="F63" s="146"/>
      <c r="G63" s="146"/>
      <c r="H63" s="146"/>
      <c r="I63" s="146"/>
      <c r="J63" s="146"/>
      <c r="K63" s="146"/>
      <c r="L63" s="146"/>
      <c r="M63" s="146"/>
      <c r="N63" s="82"/>
      <c r="O63" s="82"/>
      <c r="P63" s="82"/>
      <c r="Q63" s="82"/>
      <c r="R63" s="82"/>
      <c r="S63" s="82"/>
      <c r="T63" s="82"/>
      <c r="U63" s="82"/>
      <c r="V63" s="82"/>
      <c r="W63" s="82"/>
      <c r="X63" s="82"/>
      <c r="Y63" s="82"/>
      <c r="Z63" s="82"/>
      <c r="AA63" s="82"/>
      <c r="AB63" s="73"/>
    </row>
    <row r="64" spans="2:28" ht="12" customHeight="1">
      <c r="B64" s="146"/>
      <c r="C64" s="146"/>
      <c r="D64" s="146"/>
      <c r="E64" s="146"/>
      <c r="F64" s="146"/>
      <c r="G64" s="146"/>
      <c r="H64" s="146"/>
      <c r="I64" s="146"/>
      <c r="J64" s="146"/>
      <c r="K64" s="146"/>
      <c r="L64" s="146"/>
      <c r="M64" s="146"/>
      <c r="N64" s="82"/>
      <c r="O64" s="82"/>
      <c r="P64" s="82"/>
      <c r="Q64" s="82"/>
      <c r="R64" s="82"/>
      <c r="S64" s="82"/>
      <c r="T64" s="82"/>
      <c r="U64" s="82"/>
      <c r="V64" s="82"/>
      <c r="W64" s="82"/>
      <c r="X64" s="82"/>
      <c r="Y64" s="82"/>
      <c r="Z64" s="82"/>
      <c r="AA64" s="82"/>
      <c r="AB64" s="85"/>
    </row>
    <row r="65" spans="2:28" ht="16.5">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row>
    <row r="66" spans="2:28" ht="16.5">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row>
    <row r="67" spans="2:28" ht="16.5">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row>
    <row r="68" spans="2:28" ht="16.5">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row>
    <row r="69" spans="2:28" ht="16.5">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row>
    <row r="70" spans="2:28" ht="16.5">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row>
    <row r="71" spans="2:28" ht="16.5">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row>
    <row r="72" spans="2:28" ht="16.5">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row>
    <row r="73" spans="2:28" ht="16.5">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row>
    <row r="74" spans="2:28" ht="16.5">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row>
    <row r="75" spans="2:28" ht="16.5">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row>
    <row r="76" spans="2:28" ht="16.5">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row>
    <row r="77" spans="2:28" ht="16.5">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row>
    <row r="78" spans="2:28" ht="16.5">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row>
    <row r="79" spans="2:28" ht="16.5">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row>
    <row r="80" spans="2:28" ht="16.5">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row>
    <row r="81" spans="2:28" ht="16.5">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row>
    <row r="82" spans="2:28" ht="16.5">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row>
    <row r="83" spans="2:28" ht="16.5">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row>
    <row r="84" spans="2:28" ht="16.5">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row>
    <row r="85" spans="2:28" ht="16.5">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row>
    <row r="86" spans="2:28" ht="16.5">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row>
    <row r="87" spans="2:28" ht="16.5">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row>
    <row r="88" spans="2:28" ht="16.5">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row>
    <row r="89" spans="2:28" ht="16.5">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row>
    <row r="90" spans="2:28" ht="16.5">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row>
    <row r="91" spans="2:28" ht="16.5">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row>
    <row r="92" spans="2:28" ht="16.5">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row>
    <row r="93" spans="2:28" ht="16.5">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row>
    <row r="94" spans="14:28" ht="16.5">
      <c r="N94" s="146"/>
      <c r="O94" s="146"/>
      <c r="P94" s="146"/>
      <c r="Q94" s="146"/>
      <c r="R94" s="146"/>
      <c r="S94" s="146"/>
      <c r="T94" s="146"/>
      <c r="U94" s="146"/>
      <c r="V94" s="146"/>
      <c r="W94" s="146"/>
      <c r="X94" s="146"/>
      <c r="Y94" s="146"/>
      <c r="Z94" s="146"/>
      <c r="AA94" s="146"/>
      <c r="AB94" s="146"/>
    </row>
    <row r="95" spans="14:28" ht="16.5">
      <c r="N95" s="146"/>
      <c r="O95" s="146"/>
      <c r="P95" s="146"/>
      <c r="Q95" s="146"/>
      <c r="R95" s="146"/>
      <c r="S95" s="146"/>
      <c r="T95" s="146"/>
      <c r="U95" s="146"/>
      <c r="V95" s="146"/>
      <c r="W95" s="146"/>
      <c r="X95" s="146"/>
      <c r="Y95" s="146"/>
      <c r="Z95" s="146"/>
      <c r="AA95" s="146"/>
      <c r="AB95" s="146"/>
    </row>
    <row r="96" spans="14:28" ht="16.5">
      <c r="N96" s="146"/>
      <c r="O96" s="146"/>
      <c r="P96" s="146"/>
      <c r="Q96" s="146"/>
      <c r="R96" s="146"/>
      <c r="S96" s="146"/>
      <c r="T96" s="146"/>
      <c r="U96" s="146"/>
      <c r="V96" s="146"/>
      <c r="W96" s="146"/>
      <c r="X96" s="146"/>
      <c r="Y96" s="146"/>
      <c r="Z96" s="146"/>
      <c r="AA96" s="146"/>
      <c r="AB96" s="146"/>
    </row>
    <row r="97" spans="14:28" ht="16.5">
      <c r="N97" s="146"/>
      <c r="O97" s="146"/>
      <c r="P97" s="146"/>
      <c r="Q97" s="146"/>
      <c r="R97" s="146"/>
      <c r="S97" s="146"/>
      <c r="T97" s="146"/>
      <c r="U97" s="146"/>
      <c r="V97" s="146"/>
      <c r="W97" s="146"/>
      <c r="X97" s="146"/>
      <c r="Y97" s="146"/>
      <c r="Z97" s="146"/>
      <c r="AA97" s="146"/>
      <c r="AB97" s="146"/>
    </row>
    <row r="98" spans="14:28" ht="16.5">
      <c r="N98" s="146"/>
      <c r="O98" s="146"/>
      <c r="P98" s="146"/>
      <c r="Q98" s="146"/>
      <c r="R98" s="146"/>
      <c r="S98" s="146"/>
      <c r="T98" s="146"/>
      <c r="U98" s="146"/>
      <c r="V98" s="146"/>
      <c r="W98" s="146"/>
      <c r="X98" s="146"/>
      <c r="Y98" s="146"/>
      <c r="Z98" s="146"/>
      <c r="AA98" s="146"/>
      <c r="AB98" s="146"/>
    </row>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spans="2:13" ht="13.5" hidden="1">
      <c r="B198" s="73"/>
      <c r="C198" s="73"/>
      <c r="D198" s="73"/>
      <c r="E198" s="73"/>
      <c r="F198" s="73"/>
      <c r="G198" s="73"/>
      <c r="H198" s="73"/>
      <c r="I198" s="73"/>
      <c r="J198" s="73"/>
      <c r="K198" s="73"/>
      <c r="L198" s="73"/>
      <c r="M198" s="73"/>
    </row>
    <row r="199" spans="2:13" ht="13.5" hidden="1">
      <c r="B199" s="73"/>
      <c r="C199" s="73"/>
      <c r="D199" s="73"/>
      <c r="E199" s="73"/>
      <c r="F199" s="73"/>
      <c r="G199" s="73"/>
      <c r="H199" s="73"/>
      <c r="I199" s="73"/>
      <c r="J199" s="73"/>
      <c r="K199" s="73"/>
      <c r="L199" s="73"/>
      <c r="M199" s="73"/>
    </row>
    <row r="200" spans="2:13" ht="13.5" hidden="1">
      <c r="B200" s="73"/>
      <c r="C200" s="73"/>
      <c r="D200" s="73"/>
      <c r="E200" s="73"/>
      <c r="F200" s="73"/>
      <c r="G200" s="73"/>
      <c r="H200" s="73"/>
      <c r="I200" s="73"/>
      <c r="J200" s="73"/>
      <c r="K200" s="73"/>
      <c r="L200" s="73"/>
      <c r="M200" s="73"/>
    </row>
    <row r="201" spans="2:13" ht="13.5" hidden="1">
      <c r="B201" s="73"/>
      <c r="C201" s="73"/>
      <c r="D201" s="73"/>
      <c r="E201" s="73"/>
      <c r="F201" s="73"/>
      <c r="G201" s="73"/>
      <c r="H201" s="73"/>
      <c r="I201" s="73"/>
      <c r="J201" s="73"/>
      <c r="K201" s="73"/>
      <c r="L201" s="73"/>
      <c r="M201" s="73"/>
    </row>
    <row r="202" spans="2:13" ht="13.5" hidden="1">
      <c r="B202" s="73"/>
      <c r="C202" s="73"/>
      <c r="D202" s="73"/>
      <c r="E202" s="73"/>
      <c r="F202" s="73"/>
      <c r="G202" s="73"/>
      <c r="H202" s="73"/>
      <c r="I202" s="73"/>
      <c r="J202" s="73"/>
      <c r="K202" s="73"/>
      <c r="L202" s="73"/>
      <c r="M202" s="73"/>
    </row>
    <row r="203" s="73" customFormat="1" ht="13.5" hidden="1"/>
    <row r="204" s="73" customFormat="1" ht="13.5" hidden="1"/>
    <row r="205" s="73" customFormat="1" ht="13.5" hidden="1"/>
    <row r="206" s="73" customFormat="1" ht="13.5" hidden="1"/>
    <row r="207" s="73" customFormat="1" ht="13.5" hidden="1"/>
    <row r="208" spans="110:209" s="73" customFormat="1" ht="13.5" hidden="1">
      <c r="DF208" s="147"/>
      <c r="DG208" s="147"/>
      <c r="DH208" s="147"/>
      <c r="DI208" s="147"/>
      <c r="DJ208" s="147"/>
      <c r="DK208" s="147"/>
      <c r="DL208" s="147"/>
      <c r="DM208" s="147"/>
      <c r="DN208" s="147"/>
      <c r="DO208" s="147"/>
      <c r="DP208" s="147"/>
      <c r="DQ208" s="147"/>
      <c r="DR208" s="147"/>
      <c r="DS208" s="147"/>
      <c r="DT208" s="147"/>
      <c r="DU208" s="147"/>
      <c r="DV208" s="147"/>
      <c r="DW208" s="147"/>
      <c r="DX208" s="147"/>
      <c r="DY208" s="147"/>
      <c r="DZ208" s="147"/>
      <c r="EA208" s="147"/>
      <c r="EB208" s="147"/>
      <c r="EC208" s="147"/>
      <c r="ED208" s="147"/>
      <c r="EE208" s="147"/>
      <c r="EF208" s="147"/>
      <c r="EG208" s="147"/>
      <c r="EH208" s="147"/>
      <c r="EI208" s="147"/>
      <c r="EJ208" s="147"/>
      <c r="EK208" s="147"/>
      <c r="EL208" s="147"/>
      <c r="EM208" s="147"/>
      <c r="EN208" s="147"/>
      <c r="EO208" s="147"/>
      <c r="EP208" s="147"/>
      <c r="EQ208" s="147"/>
      <c r="ER208" s="147"/>
      <c r="ES208" s="147"/>
      <c r="ET208" s="147"/>
      <c r="EU208" s="147"/>
      <c r="EV208" s="147"/>
      <c r="EW208" s="147"/>
      <c r="EX208" s="147"/>
      <c r="EY208" s="147"/>
      <c r="EZ208" s="147"/>
      <c r="FA208" s="147"/>
      <c r="FB208" s="147"/>
      <c r="FC208" s="147"/>
      <c r="FD208" s="147"/>
      <c r="FE208" s="147"/>
      <c r="FF208" s="147"/>
      <c r="FG208" s="147"/>
      <c r="FH208" s="147"/>
      <c r="FI208" s="147"/>
      <c r="FJ208" s="147"/>
      <c r="FK208" s="147"/>
      <c r="FL208" s="147"/>
      <c r="FM208" s="147"/>
      <c r="FN208" s="147"/>
      <c r="FO208" s="147"/>
      <c r="FP208" s="147"/>
      <c r="FQ208" s="147"/>
      <c r="FR208" s="147"/>
      <c r="FS208" s="147"/>
      <c r="FT208" s="147"/>
      <c r="FU208" s="147"/>
      <c r="FV208" s="147"/>
      <c r="FW208" s="147"/>
      <c r="FX208" s="147"/>
      <c r="FY208" s="147"/>
      <c r="FZ208" s="147"/>
      <c r="GA208" s="147"/>
      <c r="GB208" s="147"/>
      <c r="GC208" s="147"/>
      <c r="GD208" s="147"/>
      <c r="GE208" s="147"/>
      <c r="GF208" s="147"/>
      <c r="GG208" s="147"/>
      <c r="GH208" s="147"/>
      <c r="GI208" s="147"/>
      <c r="GJ208" s="147"/>
      <c r="GK208" s="147"/>
      <c r="GL208" s="147"/>
      <c r="GM208" s="147"/>
      <c r="GN208" s="147"/>
      <c r="GO208" s="147"/>
      <c r="GP208" s="147"/>
      <c r="GQ208" s="147"/>
      <c r="GR208" s="147"/>
      <c r="GS208" s="147"/>
      <c r="GT208" s="147"/>
      <c r="GU208" s="147"/>
      <c r="GV208" s="147"/>
      <c r="GW208" s="147"/>
      <c r="GX208" s="147"/>
      <c r="GY208" s="147"/>
      <c r="GZ208" s="147"/>
      <c r="HA208" s="147"/>
    </row>
    <row r="209" spans="110:209" s="73" customFormat="1" ht="13.5" hidden="1">
      <c r="DF209" s="147"/>
      <c r="DG209" s="147"/>
      <c r="DH209" s="147"/>
      <c r="DI209" s="147"/>
      <c r="DJ209" s="147"/>
      <c r="DK209" s="147"/>
      <c r="DL209" s="147"/>
      <c r="DM209" s="147"/>
      <c r="DN209" s="147"/>
      <c r="DO209" s="147"/>
      <c r="DP209" s="147"/>
      <c r="DQ209" s="147"/>
      <c r="DR209" s="147"/>
      <c r="DS209" s="147"/>
      <c r="DT209" s="147"/>
      <c r="DU209" s="147"/>
      <c r="DV209" s="147"/>
      <c r="DW209" s="147"/>
      <c r="DX209" s="147"/>
      <c r="DY209" s="147"/>
      <c r="DZ209" s="147"/>
      <c r="EA209" s="147"/>
      <c r="EB209" s="147"/>
      <c r="EC209" s="147"/>
      <c r="ED209" s="147"/>
      <c r="EE209" s="147"/>
      <c r="EF209" s="147"/>
      <c r="EG209" s="147"/>
      <c r="EH209" s="147"/>
      <c r="EI209" s="147"/>
      <c r="EJ209" s="147"/>
      <c r="EK209" s="147"/>
      <c r="EL209" s="147"/>
      <c r="EM209" s="147"/>
      <c r="EN209" s="147"/>
      <c r="EO209" s="147"/>
      <c r="EP209" s="147"/>
      <c r="EQ209" s="147"/>
      <c r="ER209" s="147"/>
      <c r="ES209" s="147"/>
      <c r="ET209" s="147"/>
      <c r="EU209" s="147"/>
      <c r="EV209" s="147"/>
      <c r="EW209" s="147"/>
      <c r="EX209" s="147"/>
      <c r="EY209" s="147"/>
      <c r="EZ209" s="147"/>
      <c r="FA209" s="147"/>
      <c r="FB209" s="147"/>
      <c r="FC209" s="147"/>
      <c r="FD209" s="147"/>
      <c r="FE209" s="147"/>
      <c r="FF209" s="147"/>
      <c r="FG209" s="147"/>
      <c r="FH209" s="147"/>
      <c r="FI209" s="147"/>
      <c r="FJ209" s="147"/>
      <c r="FK209" s="147"/>
      <c r="FL209" s="147"/>
      <c r="FM209" s="147"/>
      <c r="FN209" s="147"/>
      <c r="FO209" s="147"/>
      <c r="FP209" s="147"/>
      <c r="FQ209" s="147"/>
      <c r="FR209" s="147"/>
      <c r="FS209" s="147"/>
      <c r="FT209" s="147"/>
      <c r="FU209" s="147"/>
      <c r="FV209" s="147"/>
      <c r="FW209" s="147"/>
      <c r="FX209" s="147"/>
      <c r="FY209" s="147"/>
      <c r="FZ209" s="147"/>
      <c r="GA209" s="147"/>
      <c r="GB209" s="147"/>
      <c r="GC209" s="147"/>
      <c r="GD209" s="147"/>
      <c r="GE209" s="147"/>
      <c r="GF209" s="147"/>
      <c r="GG209" s="147"/>
      <c r="GH209" s="147"/>
      <c r="GI209" s="147"/>
      <c r="GJ209" s="147"/>
      <c r="GK209" s="147"/>
      <c r="GL209" s="147"/>
      <c r="GM209" s="147"/>
      <c r="GN209" s="147"/>
      <c r="GO209" s="147"/>
      <c r="GP209" s="147"/>
      <c r="GQ209" s="147"/>
      <c r="GR209" s="147"/>
      <c r="GS209" s="147"/>
      <c r="GT209" s="147"/>
      <c r="GU209" s="147"/>
      <c r="GV209" s="147"/>
      <c r="GW209" s="147"/>
      <c r="GX209" s="147"/>
      <c r="GY209" s="147"/>
      <c r="GZ209" s="147"/>
      <c r="HA209" s="147"/>
    </row>
    <row r="210" spans="110:209" s="73" customFormat="1" ht="13.5" hidden="1">
      <c r="DF210" s="147"/>
      <c r="DG210" s="147"/>
      <c r="DH210" s="147"/>
      <c r="DI210" s="147"/>
      <c r="DJ210" s="147"/>
      <c r="DK210" s="147"/>
      <c r="DL210" s="147"/>
      <c r="DM210" s="147"/>
      <c r="DN210" s="147"/>
      <c r="DO210" s="147"/>
      <c r="DP210" s="147"/>
      <c r="DQ210" s="147"/>
      <c r="DR210" s="147"/>
      <c r="DS210" s="147"/>
      <c r="DT210" s="147"/>
      <c r="DU210" s="147"/>
      <c r="DV210" s="147"/>
      <c r="DW210" s="147"/>
      <c r="DX210" s="147"/>
      <c r="DY210" s="147"/>
      <c r="DZ210" s="147"/>
      <c r="EA210" s="147"/>
      <c r="EB210" s="147"/>
      <c r="EC210" s="147"/>
      <c r="ED210" s="147"/>
      <c r="EE210" s="147"/>
      <c r="EF210" s="147"/>
      <c r="EG210" s="147"/>
      <c r="EH210" s="147"/>
      <c r="EI210" s="147"/>
      <c r="EJ210" s="147"/>
      <c r="EK210" s="147"/>
      <c r="EL210" s="147"/>
      <c r="EM210" s="147"/>
      <c r="EN210" s="147"/>
      <c r="EO210" s="147"/>
      <c r="EP210" s="147"/>
      <c r="EQ210" s="147"/>
      <c r="ER210" s="147"/>
      <c r="ES210" s="147"/>
      <c r="ET210" s="147"/>
      <c r="EU210" s="147"/>
      <c r="EV210" s="147"/>
      <c r="EW210" s="147"/>
      <c r="EX210" s="147"/>
      <c r="EY210" s="147"/>
      <c r="EZ210" s="147"/>
      <c r="FA210" s="147"/>
      <c r="FB210" s="147"/>
      <c r="FC210" s="147"/>
      <c r="FD210" s="147"/>
      <c r="FE210" s="147"/>
      <c r="FF210" s="147"/>
      <c r="FG210" s="147"/>
      <c r="FH210" s="147"/>
      <c r="FI210" s="147"/>
      <c r="FJ210" s="147"/>
      <c r="FK210" s="147"/>
      <c r="FL210" s="147"/>
      <c r="FM210" s="147"/>
      <c r="FN210" s="147"/>
      <c r="FO210" s="147"/>
      <c r="FP210" s="147"/>
      <c r="FQ210" s="147"/>
      <c r="FR210" s="147"/>
      <c r="FS210" s="147"/>
      <c r="FT210" s="147"/>
      <c r="FU210" s="147"/>
      <c r="FV210" s="147"/>
      <c r="FW210" s="147"/>
      <c r="FX210" s="147"/>
      <c r="FY210" s="147"/>
      <c r="FZ210" s="147"/>
      <c r="GA210" s="147"/>
      <c r="GB210" s="147"/>
      <c r="GC210" s="147"/>
      <c r="GD210" s="147"/>
      <c r="GE210" s="147"/>
      <c r="GF210" s="147"/>
      <c r="GG210" s="147"/>
      <c r="GH210" s="147"/>
      <c r="GI210" s="147"/>
      <c r="GJ210" s="147"/>
      <c r="GK210" s="147"/>
      <c r="GL210" s="147"/>
      <c r="GM210" s="147"/>
      <c r="GN210" s="147"/>
      <c r="GO210" s="147"/>
      <c r="GP210" s="147"/>
      <c r="GQ210" s="147"/>
      <c r="GR210" s="147"/>
      <c r="GS210" s="147"/>
      <c r="GT210" s="147"/>
      <c r="GU210" s="147"/>
      <c r="GV210" s="147"/>
      <c r="GW210" s="147"/>
      <c r="GX210" s="147"/>
      <c r="GY210" s="147"/>
      <c r="GZ210" s="147"/>
      <c r="HA210" s="147"/>
    </row>
    <row r="211" spans="110:209" s="73" customFormat="1" ht="13.5" hidden="1">
      <c r="DF211" s="147"/>
      <c r="DG211" s="147"/>
      <c r="DH211" s="147"/>
      <c r="DI211" s="147"/>
      <c r="DJ211" s="147"/>
      <c r="DK211" s="147"/>
      <c r="DL211" s="147"/>
      <c r="DM211" s="147"/>
      <c r="DN211" s="147"/>
      <c r="DO211" s="147"/>
      <c r="DP211" s="147"/>
      <c r="DQ211" s="147"/>
      <c r="DR211" s="147"/>
      <c r="DS211" s="147"/>
      <c r="DT211" s="147"/>
      <c r="DU211" s="147"/>
      <c r="DV211" s="147"/>
      <c r="DW211" s="147"/>
      <c r="DX211" s="147"/>
      <c r="DY211" s="147"/>
      <c r="DZ211" s="147"/>
      <c r="EA211" s="147"/>
      <c r="EB211" s="147"/>
      <c r="EC211" s="147"/>
      <c r="ED211" s="147"/>
      <c r="EE211" s="147"/>
      <c r="EF211" s="147"/>
      <c r="EG211" s="147"/>
      <c r="EH211" s="147"/>
      <c r="EI211" s="147"/>
      <c r="EJ211" s="147"/>
      <c r="EK211" s="147"/>
      <c r="EL211" s="147"/>
      <c r="EM211" s="147"/>
      <c r="EN211" s="147"/>
      <c r="EO211" s="147"/>
      <c r="EP211" s="147"/>
      <c r="EQ211" s="147"/>
      <c r="ER211" s="147"/>
      <c r="ES211" s="147"/>
      <c r="ET211" s="147"/>
      <c r="EU211" s="147"/>
      <c r="EV211" s="147"/>
      <c r="EW211" s="147"/>
      <c r="EX211" s="147"/>
      <c r="EY211" s="147"/>
      <c r="EZ211" s="147"/>
      <c r="FA211" s="147"/>
      <c r="FB211" s="147"/>
      <c r="FC211" s="147"/>
      <c r="FD211" s="147"/>
      <c r="FE211" s="147"/>
      <c r="FF211" s="147"/>
      <c r="FG211" s="147"/>
      <c r="FH211" s="147"/>
      <c r="FI211" s="147"/>
      <c r="FJ211" s="147"/>
      <c r="FK211" s="147"/>
      <c r="FL211" s="147"/>
      <c r="FM211" s="147"/>
      <c r="FN211" s="147"/>
      <c r="FO211" s="147"/>
      <c r="FP211" s="147"/>
      <c r="FQ211" s="147"/>
      <c r="FR211" s="147"/>
      <c r="FS211" s="147"/>
      <c r="FT211" s="147"/>
      <c r="FU211" s="147"/>
      <c r="FV211" s="147"/>
      <c r="FW211" s="147"/>
      <c r="FX211" s="147"/>
      <c r="FY211" s="147"/>
      <c r="FZ211" s="147"/>
      <c r="GA211" s="147"/>
      <c r="GB211" s="147"/>
      <c r="GC211" s="147"/>
      <c r="GD211" s="147"/>
      <c r="GE211" s="147"/>
      <c r="GF211" s="147"/>
      <c r="GG211" s="147"/>
      <c r="GH211" s="147"/>
      <c r="GI211" s="147"/>
      <c r="GJ211" s="147"/>
      <c r="GK211" s="147"/>
      <c r="GL211" s="147"/>
      <c r="GM211" s="147"/>
      <c r="GN211" s="147"/>
      <c r="GO211" s="147"/>
      <c r="GP211" s="147"/>
      <c r="GQ211" s="147"/>
      <c r="GR211" s="147"/>
      <c r="GS211" s="147"/>
      <c r="GT211" s="147"/>
      <c r="GU211" s="147"/>
      <c r="GV211" s="147"/>
      <c r="GW211" s="147"/>
      <c r="GX211" s="147"/>
      <c r="GY211" s="147"/>
      <c r="GZ211" s="147"/>
      <c r="HA211" s="147"/>
    </row>
    <row r="212" spans="110:209" s="73" customFormat="1" ht="13.5" hidden="1">
      <c r="DF212" s="147"/>
      <c r="DG212" s="147"/>
      <c r="DH212" s="147"/>
      <c r="DI212" s="147"/>
      <c r="DJ212" s="147"/>
      <c r="DK212" s="147"/>
      <c r="DL212" s="147"/>
      <c r="DM212" s="147"/>
      <c r="DN212" s="147"/>
      <c r="DO212" s="147"/>
      <c r="DP212" s="147"/>
      <c r="DQ212" s="147"/>
      <c r="DR212" s="147"/>
      <c r="DS212" s="147"/>
      <c r="DT212" s="147"/>
      <c r="DU212" s="147"/>
      <c r="DV212" s="147"/>
      <c r="DW212" s="147"/>
      <c r="DX212" s="147"/>
      <c r="DY212" s="147"/>
      <c r="DZ212" s="147"/>
      <c r="EA212" s="147"/>
      <c r="EB212" s="147"/>
      <c r="EC212" s="147"/>
      <c r="ED212" s="147"/>
      <c r="EE212" s="147"/>
      <c r="EF212" s="147"/>
      <c r="EG212" s="147"/>
      <c r="EH212" s="147"/>
      <c r="EI212" s="147"/>
      <c r="EJ212" s="147"/>
      <c r="EK212" s="147"/>
      <c r="EL212" s="147"/>
      <c r="EM212" s="147"/>
      <c r="EN212" s="147"/>
      <c r="EO212" s="147"/>
      <c r="EP212" s="147"/>
      <c r="EQ212" s="147"/>
      <c r="ER212" s="147"/>
      <c r="ES212" s="147"/>
      <c r="ET212" s="147"/>
      <c r="EU212" s="147"/>
      <c r="EV212" s="147"/>
      <c r="EW212" s="147"/>
      <c r="EX212" s="147"/>
      <c r="EY212" s="147"/>
      <c r="EZ212" s="147"/>
      <c r="FA212" s="147"/>
      <c r="FB212" s="147"/>
      <c r="FC212" s="147"/>
      <c r="FD212" s="147"/>
      <c r="FE212" s="147"/>
      <c r="FF212" s="147"/>
      <c r="FG212" s="147"/>
      <c r="FH212" s="147"/>
      <c r="FI212" s="147"/>
      <c r="FJ212" s="147"/>
      <c r="FK212" s="147"/>
      <c r="FL212" s="147"/>
      <c r="FM212" s="147"/>
      <c r="FN212" s="147"/>
      <c r="FO212" s="147"/>
      <c r="FP212" s="147"/>
      <c r="FQ212" s="147"/>
      <c r="FR212" s="147"/>
      <c r="FS212" s="147"/>
      <c r="FT212" s="147"/>
      <c r="FU212" s="147"/>
      <c r="FV212" s="147"/>
      <c r="FW212" s="147"/>
      <c r="FX212" s="147"/>
      <c r="FY212" s="147"/>
      <c r="FZ212" s="147"/>
      <c r="GA212" s="147"/>
      <c r="GB212" s="147"/>
      <c r="GC212" s="147"/>
      <c r="GD212" s="147"/>
      <c r="GE212" s="147"/>
      <c r="GF212" s="147"/>
      <c r="GG212" s="147"/>
      <c r="GH212" s="147"/>
      <c r="GI212" s="147"/>
      <c r="GJ212" s="147"/>
      <c r="GK212" s="147"/>
      <c r="GL212" s="147"/>
      <c r="GM212" s="147"/>
      <c r="GN212" s="147"/>
      <c r="GO212" s="147"/>
      <c r="GP212" s="147"/>
      <c r="GQ212" s="147"/>
      <c r="GR212" s="147"/>
      <c r="GS212" s="147"/>
      <c r="GT212" s="147"/>
      <c r="GU212" s="147"/>
      <c r="GV212" s="147"/>
      <c r="GW212" s="147"/>
      <c r="GX212" s="147"/>
      <c r="GY212" s="147"/>
      <c r="GZ212" s="147"/>
      <c r="HA212" s="147"/>
    </row>
    <row r="213" spans="110:209" s="73" customFormat="1" ht="13.5" hidden="1">
      <c r="DF213" s="147"/>
      <c r="DG213" s="147"/>
      <c r="DH213" s="147"/>
      <c r="DI213" s="147"/>
      <c r="DJ213" s="147"/>
      <c r="DK213" s="147"/>
      <c r="DL213" s="147"/>
      <c r="DM213" s="147"/>
      <c r="DN213" s="147"/>
      <c r="DO213" s="147"/>
      <c r="DP213" s="147"/>
      <c r="DQ213" s="147"/>
      <c r="DR213" s="147"/>
      <c r="DS213" s="147"/>
      <c r="DT213" s="147"/>
      <c r="DU213" s="147"/>
      <c r="DV213" s="147"/>
      <c r="DW213" s="147"/>
      <c r="DX213" s="147"/>
      <c r="DY213" s="147"/>
      <c r="DZ213" s="147"/>
      <c r="EA213" s="147"/>
      <c r="EB213" s="147"/>
      <c r="EC213" s="147"/>
      <c r="ED213" s="147"/>
      <c r="EE213" s="147"/>
      <c r="EF213" s="147"/>
      <c r="EG213" s="147"/>
      <c r="EH213" s="147"/>
      <c r="EI213" s="147"/>
      <c r="EJ213" s="147"/>
      <c r="EK213" s="147"/>
      <c r="EL213" s="147"/>
      <c r="EM213" s="147"/>
      <c r="EN213" s="147"/>
      <c r="EO213" s="147"/>
      <c r="EP213" s="147"/>
      <c r="EQ213" s="147"/>
      <c r="ER213" s="147"/>
      <c r="ES213" s="147"/>
      <c r="ET213" s="147"/>
      <c r="EU213" s="147"/>
      <c r="EV213" s="147"/>
      <c r="EW213" s="147"/>
      <c r="EX213" s="147"/>
      <c r="EY213" s="147"/>
      <c r="EZ213" s="147"/>
      <c r="FA213" s="147"/>
      <c r="FB213" s="147"/>
      <c r="FC213" s="147"/>
      <c r="FD213" s="147"/>
      <c r="FE213" s="147"/>
      <c r="FF213" s="147"/>
      <c r="FG213" s="147"/>
      <c r="FH213" s="147"/>
      <c r="FI213" s="147"/>
      <c r="FJ213" s="147"/>
      <c r="FK213" s="147"/>
      <c r="FL213" s="147"/>
      <c r="FM213" s="147"/>
      <c r="FN213" s="147"/>
      <c r="FO213" s="147"/>
      <c r="FP213" s="147"/>
      <c r="FQ213" s="147"/>
      <c r="FR213" s="147"/>
      <c r="FS213" s="147"/>
      <c r="FT213" s="147"/>
      <c r="FU213" s="147"/>
      <c r="FV213" s="147"/>
      <c r="FW213" s="147"/>
      <c r="FX213" s="147"/>
      <c r="FY213" s="147"/>
      <c r="FZ213" s="147"/>
      <c r="GA213" s="147"/>
      <c r="GB213" s="147"/>
      <c r="GC213" s="147"/>
      <c r="GD213" s="147"/>
      <c r="GE213" s="147"/>
      <c r="GF213" s="147"/>
      <c r="GG213" s="147"/>
      <c r="GH213" s="147"/>
      <c r="GI213" s="147"/>
      <c r="GJ213" s="147"/>
      <c r="GK213" s="147"/>
      <c r="GL213" s="147"/>
      <c r="GM213" s="147"/>
      <c r="GN213" s="147"/>
      <c r="GO213" s="147"/>
      <c r="GP213" s="147"/>
      <c r="GQ213" s="147"/>
      <c r="GR213" s="147"/>
      <c r="GS213" s="147"/>
      <c r="GT213" s="147"/>
      <c r="GU213" s="147"/>
      <c r="GV213" s="147"/>
      <c r="GW213" s="147"/>
      <c r="GX213" s="147"/>
      <c r="GY213" s="147"/>
      <c r="GZ213" s="147"/>
      <c r="HA213" s="147"/>
    </row>
    <row r="214" spans="110:209" s="73" customFormat="1" ht="18.75" hidden="1">
      <c r="DF214" s="147"/>
      <c r="DG214" s="147"/>
      <c r="DH214" s="147"/>
      <c r="DI214" s="147"/>
      <c r="DJ214" s="351"/>
      <c r="DK214" s="149"/>
      <c r="DL214" s="149"/>
      <c r="DM214" s="149"/>
      <c r="DN214" s="149"/>
      <c r="DO214" s="149"/>
      <c r="DP214" s="149"/>
      <c r="DQ214" s="147"/>
      <c r="DR214" s="147"/>
      <c r="DS214" s="147"/>
      <c r="DT214" s="147"/>
      <c r="DU214" s="147"/>
      <c r="DV214" s="147"/>
      <c r="DW214" s="147"/>
      <c r="DX214" s="147"/>
      <c r="DY214" s="147"/>
      <c r="DZ214" s="147"/>
      <c r="EA214" s="147"/>
      <c r="EB214" s="147"/>
      <c r="EC214" s="147"/>
      <c r="ED214" s="147"/>
      <c r="EE214" s="147"/>
      <c r="EF214" s="147"/>
      <c r="EG214" s="147"/>
      <c r="EH214" s="147"/>
      <c r="EI214" s="147"/>
      <c r="EJ214" s="147"/>
      <c r="EK214" s="147"/>
      <c r="EL214" s="147"/>
      <c r="EM214" s="147"/>
      <c r="EN214" s="147"/>
      <c r="EO214" s="147"/>
      <c r="EP214" s="147"/>
      <c r="EQ214" s="147"/>
      <c r="ER214" s="147"/>
      <c r="ES214" s="147"/>
      <c r="ET214" s="147"/>
      <c r="EU214" s="147"/>
      <c r="EV214" s="147"/>
      <c r="EW214" s="147"/>
      <c r="EX214" s="147"/>
      <c r="EY214" s="147"/>
      <c r="EZ214" s="147"/>
      <c r="FA214" s="147"/>
      <c r="FB214" s="147"/>
      <c r="FC214" s="147"/>
      <c r="FD214" s="147"/>
      <c r="FE214" s="147"/>
      <c r="FF214" s="147"/>
      <c r="FG214" s="147"/>
      <c r="FH214" s="147"/>
      <c r="FI214" s="147"/>
      <c r="FJ214" s="147"/>
      <c r="FK214" s="147"/>
      <c r="FL214" s="147"/>
      <c r="FM214" s="147"/>
      <c r="FN214" s="147"/>
      <c r="FO214" s="147"/>
      <c r="FP214" s="147"/>
      <c r="FQ214" s="147"/>
      <c r="FR214" s="147"/>
      <c r="FS214" s="147"/>
      <c r="FT214" s="147"/>
      <c r="FU214" s="147"/>
      <c r="FV214" s="147"/>
      <c r="FW214" s="147"/>
      <c r="FX214" s="147"/>
      <c r="FY214" s="147"/>
      <c r="FZ214" s="147"/>
      <c r="GA214" s="147"/>
      <c r="GB214" s="147"/>
      <c r="GC214" s="147"/>
      <c r="GD214" s="147"/>
      <c r="GE214" s="147"/>
      <c r="GF214" s="147"/>
      <c r="GG214" s="147"/>
      <c r="GH214" s="147"/>
      <c r="GI214" s="147"/>
      <c r="GJ214" s="147"/>
      <c r="GK214" s="147"/>
      <c r="GL214" s="147"/>
      <c r="GM214" s="147"/>
      <c r="GN214" s="147"/>
      <c r="GO214" s="147"/>
      <c r="GP214" s="147"/>
      <c r="GQ214" s="147"/>
      <c r="GR214" s="147"/>
      <c r="GS214" s="147"/>
      <c r="GT214" s="147"/>
      <c r="GU214" s="147"/>
      <c r="GV214" s="147"/>
      <c r="GW214" s="147"/>
      <c r="GX214" s="147"/>
      <c r="GY214" s="147"/>
      <c r="GZ214" s="147"/>
      <c r="HA214" s="147"/>
    </row>
    <row r="215" spans="110:209" s="73" customFormat="1" ht="13.5" hidden="1">
      <c r="DF215" s="148"/>
      <c r="DG215" s="148"/>
      <c r="DH215" s="148"/>
      <c r="DI215" s="148"/>
      <c r="DJ215" s="148"/>
      <c r="DK215" s="148"/>
      <c r="DL215" s="148"/>
      <c r="DM215" s="148"/>
      <c r="DN215" s="148"/>
      <c r="DO215" s="147"/>
      <c r="DP215" s="147"/>
      <c r="DQ215" s="147"/>
      <c r="DR215" s="147"/>
      <c r="DS215" s="147"/>
      <c r="DT215" s="147"/>
      <c r="DU215" s="147"/>
      <c r="DV215" s="147"/>
      <c r="DW215" s="147"/>
      <c r="DX215" s="147"/>
      <c r="DY215" s="147"/>
      <c r="DZ215" s="147"/>
      <c r="EA215" s="147"/>
      <c r="EB215" s="147"/>
      <c r="EC215" s="147"/>
      <c r="ED215" s="147"/>
      <c r="EE215" s="147"/>
      <c r="EF215" s="147"/>
      <c r="EG215" s="147"/>
      <c r="EH215" s="147"/>
      <c r="EI215" s="147"/>
      <c r="EJ215" s="147"/>
      <c r="EK215" s="147"/>
      <c r="EL215" s="147"/>
      <c r="EM215" s="147"/>
      <c r="EN215" s="147"/>
      <c r="EO215" s="147"/>
      <c r="EP215" s="147"/>
      <c r="EQ215" s="147"/>
      <c r="ER215" s="147"/>
      <c r="ES215" s="147"/>
      <c r="ET215" s="147"/>
      <c r="EU215" s="147"/>
      <c r="EV215" s="147"/>
      <c r="EW215" s="147"/>
      <c r="EX215" s="147"/>
      <c r="EY215" s="147"/>
      <c r="EZ215" s="147"/>
      <c r="FA215" s="147"/>
      <c r="FB215" s="147"/>
      <c r="FC215" s="147"/>
      <c r="FD215" s="147"/>
      <c r="FE215" s="147"/>
      <c r="FF215" s="147"/>
      <c r="FG215" s="147"/>
      <c r="FH215" s="147"/>
      <c r="FI215" s="147"/>
      <c r="FJ215" s="147"/>
      <c r="FK215" s="147"/>
      <c r="FL215" s="147"/>
      <c r="FM215" s="147"/>
      <c r="FN215" s="147"/>
      <c r="FO215" s="147"/>
      <c r="FP215" s="147"/>
      <c r="FQ215" s="147"/>
      <c r="FR215" s="147"/>
      <c r="FS215" s="147"/>
      <c r="FT215" s="147"/>
      <c r="FU215" s="147"/>
      <c r="FV215" s="147"/>
      <c r="FW215" s="147"/>
      <c r="FX215" s="147"/>
      <c r="FY215" s="147"/>
      <c r="FZ215" s="147"/>
      <c r="GA215" s="147"/>
      <c r="GB215" s="147"/>
      <c r="GC215" s="147"/>
      <c r="GD215" s="147"/>
      <c r="GE215" s="147"/>
      <c r="GF215" s="147"/>
      <c r="GG215" s="147"/>
      <c r="GH215" s="147"/>
      <c r="GI215" s="147"/>
      <c r="GJ215" s="147"/>
      <c r="GK215" s="147"/>
      <c r="GL215" s="147"/>
      <c r="GM215" s="147"/>
      <c r="GN215" s="147"/>
      <c r="GO215" s="147"/>
      <c r="GP215" s="147"/>
      <c r="GQ215" s="147"/>
      <c r="GR215" s="147"/>
      <c r="GS215" s="147"/>
      <c r="GT215" s="147"/>
      <c r="GU215" s="147"/>
      <c r="GV215" s="147"/>
      <c r="GW215" s="147"/>
      <c r="GX215" s="147"/>
      <c r="GY215" s="147"/>
      <c r="GZ215" s="147"/>
      <c r="HA215" s="147"/>
    </row>
    <row r="216" s="73" customFormat="1" ht="13.5" hidden="1"/>
    <row r="217" s="73" customFormat="1" ht="13.5" hidden="1"/>
    <row r="218" s="73" customFormat="1" ht="13.5" hidden="1"/>
    <row r="219" s="73" customFormat="1" ht="13.5" hidden="1"/>
    <row r="220" spans="7:108" s="422" customFormat="1" ht="23.25" customHeight="1" hidden="1">
      <c r="G220" s="422">
        <v>1</v>
      </c>
      <c r="H220" s="422">
        <v>2</v>
      </c>
      <c r="I220" s="422">
        <v>3</v>
      </c>
      <c r="J220" s="422">
        <v>4</v>
      </c>
      <c r="K220" s="422">
        <v>5</v>
      </c>
      <c r="L220" s="422">
        <v>6</v>
      </c>
      <c r="M220" s="422">
        <v>7</v>
      </c>
      <c r="Q220" s="422">
        <v>8</v>
      </c>
      <c r="R220" s="422">
        <v>9</v>
      </c>
      <c r="S220" s="422">
        <v>10</v>
      </c>
      <c r="T220" s="422">
        <v>11</v>
      </c>
      <c r="U220" s="422">
        <v>12</v>
      </c>
      <c r="V220" s="422">
        <v>13</v>
      </c>
      <c r="W220" s="422">
        <v>14</v>
      </c>
      <c r="X220" s="422">
        <v>15</v>
      </c>
      <c r="Y220" s="422">
        <v>16</v>
      </c>
      <c r="Z220" s="422">
        <v>17</v>
      </c>
      <c r="AA220" s="422">
        <v>18</v>
      </c>
      <c r="AB220" s="422">
        <v>19</v>
      </c>
      <c r="AC220" s="422">
        <v>20</v>
      </c>
      <c r="AD220" s="422">
        <v>21</v>
      </c>
      <c r="AE220" s="422">
        <v>22</v>
      </c>
      <c r="AF220" s="422">
        <v>23</v>
      </c>
      <c r="AG220" s="422">
        <v>24</v>
      </c>
      <c r="AH220" s="422">
        <v>25</v>
      </c>
      <c r="AI220" s="422">
        <v>26</v>
      </c>
      <c r="AJ220" s="422">
        <v>27</v>
      </c>
      <c r="AK220" s="422">
        <v>28</v>
      </c>
      <c r="AL220" s="422">
        <v>29</v>
      </c>
      <c r="AM220" s="422">
        <v>30</v>
      </c>
      <c r="AN220" s="422">
        <v>31</v>
      </c>
      <c r="AO220" s="422">
        <v>32</v>
      </c>
      <c r="AP220" s="422">
        <v>33</v>
      </c>
      <c r="AQ220" s="422">
        <v>34</v>
      </c>
      <c r="AR220" s="422">
        <v>35</v>
      </c>
      <c r="AS220" s="422">
        <v>36</v>
      </c>
      <c r="AT220" s="422">
        <v>37</v>
      </c>
      <c r="AU220" s="422">
        <v>38</v>
      </c>
      <c r="AV220" s="422">
        <v>39</v>
      </c>
      <c r="AW220" s="422">
        <v>40</v>
      </c>
      <c r="AX220" s="422">
        <v>41</v>
      </c>
      <c r="AY220" s="422">
        <v>42</v>
      </c>
      <c r="AZ220" s="422">
        <v>43</v>
      </c>
      <c r="BA220" s="422">
        <v>44</v>
      </c>
      <c r="BB220" s="422">
        <v>45</v>
      </c>
      <c r="BC220" s="422">
        <v>46</v>
      </c>
      <c r="BD220" s="422">
        <v>47</v>
      </c>
      <c r="BE220" s="422">
        <v>48</v>
      </c>
      <c r="BF220" s="422">
        <v>49</v>
      </c>
      <c r="BG220" s="422">
        <v>50</v>
      </c>
      <c r="BH220" s="422">
        <v>51</v>
      </c>
      <c r="BI220" s="422">
        <v>52</v>
      </c>
      <c r="BJ220" s="422">
        <v>53</v>
      </c>
      <c r="BK220" s="422">
        <v>54</v>
      </c>
      <c r="BL220" s="422">
        <v>55</v>
      </c>
      <c r="BM220" s="422">
        <v>56</v>
      </c>
      <c r="BN220" s="422">
        <v>57</v>
      </c>
      <c r="BO220" s="422">
        <v>58</v>
      </c>
      <c r="BP220" s="422">
        <v>59</v>
      </c>
      <c r="BQ220" s="422">
        <v>60</v>
      </c>
      <c r="BR220" s="422">
        <v>61</v>
      </c>
      <c r="BS220" s="422">
        <v>62</v>
      </c>
      <c r="BT220" s="422">
        <v>63</v>
      </c>
      <c r="BU220" s="422">
        <v>64</v>
      </c>
      <c r="BV220" s="422">
        <v>65</v>
      </c>
      <c r="BW220" s="422">
        <v>66</v>
      </c>
      <c r="BX220" s="422">
        <v>67</v>
      </c>
      <c r="BY220" s="422">
        <v>68</v>
      </c>
      <c r="BZ220" s="422">
        <v>69</v>
      </c>
      <c r="CA220" s="422">
        <v>70</v>
      </c>
      <c r="CB220" s="422">
        <v>71</v>
      </c>
      <c r="CC220" s="422">
        <v>72</v>
      </c>
      <c r="CD220" s="422">
        <v>73</v>
      </c>
      <c r="CE220" s="422">
        <v>74</v>
      </c>
      <c r="CF220" s="422">
        <v>75</v>
      </c>
      <c r="CG220" s="422">
        <v>76</v>
      </c>
      <c r="CH220" s="422">
        <v>77</v>
      </c>
      <c r="CI220" s="422">
        <v>78</v>
      </c>
      <c r="CJ220" s="422">
        <v>79</v>
      </c>
      <c r="CK220" s="422">
        <v>80</v>
      </c>
      <c r="CL220" s="422">
        <v>81</v>
      </c>
      <c r="CM220" s="422">
        <v>82</v>
      </c>
      <c r="CN220" s="422">
        <v>83</v>
      </c>
      <c r="CO220" s="422">
        <v>84</v>
      </c>
      <c r="CP220" s="422">
        <v>85</v>
      </c>
      <c r="CQ220" s="422">
        <v>86</v>
      </c>
      <c r="CR220" s="422">
        <v>87</v>
      </c>
      <c r="CS220" s="422">
        <v>88</v>
      </c>
      <c r="CT220" s="422">
        <v>89</v>
      </c>
      <c r="CU220" s="422">
        <v>90</v>
      </c>
      <c r="CV220" s="422">
        <v>91</v>
      </c>
      <c r="CW220" s="422">
        <v>92</v>
      </c>
      <c r="CX220" s="422">
        <v>93</v>
      </c>
      <c r="CY220" s="422">
        <v>94</v>
      </c>
      <c r="CZ220" s="422">
        <v>95</v>
      </c>
      <c r="DA220" s="422">
        <v>96</v>
      </c>
      <c r="DB220" s="422">
        <v>97</v>
      </c>
      <c r="DC220" s="422">
        <v>98</v>
      </c>
      <c r="DD220" s="422">
        <v>99</v>
      </c>
    </row>
    <row r="221" spans="7:108" s="422" customFormat="1" ht="23.25" customHeight="1" hidden="1">
      <c r="G221" s="422" t="s">
        <v>423</v>
      </c>
      <c r="H221" s="422" t="s">
        <v>424</v>
      </c>
      <c r="I221" s="422" t="s">
        <v>425</v>
      </c>
      <c r="J221" s="422" t="s">
        <v>426</v>
      </c>
      <c r="K221" s="422" t="s">
        <v>427</v>
      </c>
      <c r="L221" s="422" t="s">
        <v>428</v>
      </c>
      <c r="M221" s="422" t="s">
        <v>429</v>
      </c>
      <c r="Q221" s="422" t="s">
        <v>430</v>
      </c>
      <c r="R221" s="422" t="s">
        <v>431</v>
      </c>
      <c r="S221" s="422" t="s">
        <v>432</v>
      </c>
      <c r="T221" s="422" t="s">
        <v>433</v>
      </c>
      <c r="U221" s="422" t="s">
        <v>434</v>
      </c>
      <c r="V221" s="422" t="s">
        <v>435</v>
      </c>
      <c r="W221" s="422" t="s">
        <v>436</v>
      </c>
      <c r="X221" s="422" t="s">
        <v>437</v>
      </c>
      <c r="Y221" s="422" t="s">
        <v>438</v>
      </c>
      <c r="Z221" s="422" t="s">
        <v>439</v>
      </c>
      <c r="AA221" s="422" t="s">
        <v>440</v>
      </c>
      <c r="AB221" s="422" t="s">
        <v>441</v>
      </c>
      <c r="AC221" s="422" t="s">
        <v>442</v>
      </c>
      <c r="AD221" s="422" t="s">
        <v>443</v>
      </c>
      <c r="AE221" s="422" t="s">
        <v>444</v>
      </c>
      <c r="AF221" s="422" t="s">
        <v>445</v>
      </c>
      <c r="AG221" s="422" t="s">
        <v>446</v>
      </c>
      <c r="AH221" s="422" t="s">
        <v>447</v>
      </c>
      <c r="AI221" s="422" t="s">
        <v>448</v>
      </c>
      <c r="AJ221" s="422" t="s">
        <v>449</v>
      </c>
      <c r="AK221" s="422" t="s">
        <v>450</v>
      </c>
      <c r="AL221" s="422" t="s">
        <v>451</v>
      </c>
      <c r="AM221" s="422" t="s">
        <v>452</v>
      </c>
      <c r="AN221" s="422" t="s">
        <v>453</v>
      </c>
      <c r="AO221" s="422" t="s">
        <v>454</v>
      </c>
      <c r="AP221" s="422" t="s">
        <v>455</v>
      </c>
      <c r="AQ221" s="422" t="s">
        <v>456</v>
      </c>
      <c r="AR221" s="422" t="s">
        <v>457</v>
      </c>
      <c r="AS221" s="422" t="s">
        <v>458</v>
      </c>
      <c r="AT221" s="422" t="s">
        <v>459</v>
      </c>
      <c r="AU221" s="422" t="s">
        <v>460</v>
      </c>
      <c r="AV221" s="422" t="s">
        <v>461</v>
      </c>
      <c r="AW221" s="422" t="s">
        <v>462</v>
      </c>
      <c r="AX221" s="422" t="s">
        <v>463</v>
      </c>
      <c r="AY221" s="422" t="s">
        <v>464</v>
      </c>
      <c r="AZ221" s="422" t="s">
        <v>465</v>
      </c>
      <c r="BA221" s="422" t="s">
        <v>466</v>
      </c>
      <c r="BB221" s="422" t="s">
        <v>467</v>
      </c>
      <c r="BC221" s="422" t="s">
        <v>468</v>
      </c>
      <c r="BD221" s="422" t="s">
        <v>469</v>
      </c>
      <c r="BE221" s="422" t="s">
        <v>470</v>
      </c>
      <c r="BF221" s="422" t="s">
        <v>471</v>
      </c>
      <c r="BG221" s="422" t="s">
        <v>472</v>
      </c>
      <c r="BH221" s="422" t="s">
        <v>473</v>
      </c>
      <c r="BI221" s="422" t="s">
        <v>474</v>
      </c>
      <c r="BJ221" s="422" t="s">
        <v>475</v>
      </c>
      <c r="BK221" s="422" t="s">
        <v>476</v>
      </c>
      <c r="BL221" s="422" t="s">
        <v>477</v>
      </c>
      <c r="BM221" s="422" t="s">
        <v>478</v>
      </c>
      <c r="BN221" s="422" t="s">
        <v>479</v>
      </c>
      <c r="BO221" s="422" t="s">
        <v>480</v>
      </c>
      <c r="BP221" s="422" t="s">
        <v>481</v>
      </c>
      <c r="BQ221" s="422" t="s">
        <v>482</v>
      </c>
      <c r="BR221" s="422" t="s">
        <v>483</v>
      </c>
      <c r="BS221" s="422" t="s">
        <v>484</v>
      </c>
      <c r="BT221" s="422" t="s">
        <v>485</v>
      </c>
      <c r="BU221" s="422" t="s">
        <v>486</v>
      </c>
      <c r="BV221" s="422" t="s">
        <v>487</v>
      </c>
      <c r="BW221" s="422" t="s">
        <v>488</v>
      </c>
      <c r="BX221" s="422" t="s">
        <v>489</v>
      </c>
      <c r="BY221" s="422" t="s">
        <v>490</v>
      </c>
      <c r="BZ221" s="422" t="s">
        <v>491</v>
      </c>
      <c r="CA221" s="422" t="s">
        <v>492</v>
      </c>
      <c r="CB221" s="422" t="s">
        <v>493</v>
      </c>
      <c r="CC221" s="422" t="s">
        <v>494</v>
      </c>
      <c r="CD221" s="422" t="s">
        <v>495</v>
      </c>
      <c r="CE221" s="422" t="s">
        <v>496</v>
      </c>
      <c r="CF221" s="422" t="s">
        <v>497</v>
      </c>
      <c r="CG221" s="422" t="s">
        <v>498</v>
      </c>
      <c r="CH221" s="422" t="s">
        <v>499</v>
      </c>
      <c r="CI221" s="422" t="s">
        <v>500</v>
      </c>
      <c r="CJ221" s="422" t="s">
        <v>501</v>
      </c>
      <c r="CK221" s="422" t="s">
        <v>502</v>
      </c>
      <c r="CL221" s="422" t="s">
        <v>503</v>
      </c>
      <c r="CM221" s="422" t="s">
        <v>504</v>
      </c>
      <c r="CN221" s="422" t="s">
        <v>505</v>
      </c>
      <c r="CO221" s="422" t="s">
        <v>506</v>
      </c>
      <c r="CP221" s="422" t="s">
        <v>507</v>
      </c>
      <c r="CQ221" s="422" t="s">
        <v>508</v>
      </c>
      <c r="CR221" s="422" t="s">
        <v>509</v>
      </c>
      <c r="CS221" s="422" t="s">
        <v>510</v>
      </c>
      <c r="CT221" s="422" t="s">
        <v>511</v>
      </c>
      <c r="CU221" s="422" t="s">
        <v>512</v>
      </c>
      <c r="CV221" s="422" t="s">
        <v>513</v>
      </c>
      <c r="CW221" s="422" t="s">
        <v>514</v>
      </c>
      <c r="CX221" s="422" t="s">
        <v>515</v>
      </c>
      <c r="CY221" s="422" t="s">
        <v>516</v>
      </c>
      <c r="CZ221" s="422" t="s">
        <v>517</v>
      </c>
      <c r="DA221" s="422" t="s">
        <v>518</v>
      </c>
      <c r="DB221" s="422" t="s">
        <v>519</v>
      </c>
      <c r="DC221" s="422" t="s">
        <v>520</v>
      </c>
      <c r="DD221" s="422" t="s">
        <v>521</v>
      </c>
    </row>
    <row r="222" s="422" customFormat="1" ht="23.25" customHeight="1" hidden="1"/>
    <row r="223" s="422" customFormat="1" ht="23.25" customHeight="1" hidden="1"/>
    <row r="224" spans="18:19" s="422" customFormat="1" ht="23.25" customHeight="1" hidden="1">
      <c r="R224" s="724"/>
      <c r="S224" s="724"/>
    </row>
    <row r="225" spans="5:23" s="422" customFormat="1" ht="12" customHeight="1" hidden="1">
      <c r="E225" s="423"/>
      <c r="V225" s="428"/>
      <c r="W225" s="428"/>
    </row>
    <row r="226" spans="5:23" s="422" customFormat="1" ht="17.25" customHeight="1" hidden="1">
      <c r="E226" s="423"/>
      <c r="V226" s="429"/>
      <c r="W226" s="429"/>
    </row>
    <row r="227" spans="5:23" s="422" customFormat="1" ht="17.25" customHeight="1" hidden="1">
      <c r="E227" s="423"/>
      <c r="V227" s="428"/>
      <c r="W227" s="430"/>
    </row>
    <row r="228" s="422" customFormat="1" ht="29.25" customHeight="1" hidden="1">
      <c r="E228" s="423"/>
    </row>
    <row r="229" s="422" customFormat="1" ht="15" customHeight="1" hidden="1"/>
    <row r="230" s="422" customFormat="1" ht="15" customHeight="1" hidden="1"/>
    <row r="231" s="422" customFormat="1" ht="15" customHeight="1" hidden="1"/>
    <row r="232" s="422" customFormat="1" ht="15" customHeight="1" hidden="1"/>
    <row r="233" spans="5:6" s="422" customFormat="1" ht="27.75" customHeight="1" hidden="1">
      <c r="E233" s="424" t="s">
        <v>531</v>
      </c>
      <c r="F233" s="424" t="s">
        <v>532</v>
      </c>
    </row>
    <row r="234" spans="5:21" s="422" customFormat="1" ht="34.5" customHeight="1" hidden="1">
      <c r="E234" s="425">
        <f>M25</f>
        <v>0</v>
      </c>
      <c r="F234" s="426" t="str">
        <f>IF(E234="","",CONCATENATE("(",U234," rupees only)"))</f>
        <v>(Zero rupees only)</v>
      </c>
      <c r="G234" s="422">
        <f>INT(E234/100000)</f>
        <v>0</v>
      </c>
      <c r="H234" s="422">
        <f>INT(E234/1000-G234*100)</f>
        <v>0</v>
      </c>
      <c r="I234" s="422">
        <f>INT(E234/100-G234*1000-H234*10)</f>
        <v>0</v>
      </c>
      <c r="J234" s="422">
        <f>INT(E234-G234*100000-H234*1000-I234*100)</f>
        <v>0</v>
      </c>
      <c r="K234" s="422">
        <f>IF(G234=0,"",HLOOKUP(G234,G220:DQ221,2,0))</f>
      </c>
      <c r="L234" s="422">
        <f>IF(H234=0,"",HLOOKUP(H234,G220:DD221,2,0))</f>
      </c>
      <c r="M234" s="422">
        <f>IF(I234=0,"",HLOOKUP(I234,G220:DD221,2,0))</f>
      </c>
      <c r="N234" s="422">
        <f>IF(J234=0,"",HLOOKUP(J234,G220:DD221,2,0))</f>
      </c>
      <c r="O234" s="422">
        <f>IF(AND(I234=0,J234=0),1,2)</f>
        <v>1</v>
      </c>
      <c r="P234" s="422">
        <f>IF(J234=0,3,4)</f>
        <v>3</v>
      </c>
      <c r="Q234" s="422">
        <f>IF(OR(O234=1,P234=3),5,6)</f>
        <v>5</v>
      </c>
      <c r="R234" s="422">
        <f>IF(G234&gt;1," Lakhs ",IF(G234&gt;0," Lakh ",""))</f>
      </c>
      <c r="S234" s="422">
        <f>IF(H234&gt;0," Thousand ","")</f>
      </c>
      <c r="T234" s="422">
        <f>IF(I234&gt;0," Hundred ","")</f>
      </c>
      <c r="U234" s="427" t="str">
        <f>IF(E234=0,"Zero",IF(E234&gt;0,TRIM(CONCATENATE(K234,R234,L234,S234,M234,T234,IF(AND(E234&gt;100,Q234=6)," and ",""),N234)),""))</f>
        <v>Zero</v>
      </c>
    </row>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sheetData>
  <sheetProtection password="86FF" sheet="1" objects="1" scenarios="1"/>
  <protectedRanges>
    <protectedRange sqref="B2:M58" name="Range1"/>
  </protectedRanges>
  <mergeCells count="55">
    <mergeCell ref="C4:G4"/>
    <mergeCell ref="C5:G5"/>
    <mergeCell ref="C6:G6"/>
    <mergeCell ref="C7:G7"/>
    <mergeCell ref="C8:G8"/>
    <mergeCell ref="C9:G9"/>
    <mergeCell ref="R224:S224"/>
    <mergeCell ref="H58:K58"/>
    <mergeCell ref="H46:I46"/>
    <mergeCell ref="B47:M51"/>
    <mergeCell ref="B56:C56"/>
    <mergeCell ref="B57:C57"/>
    <mergeCell ref="D57:E57"/>
    <mergeCell ref="H57:K57"/>
    <mergeCell ref="H41:I41"/>
    <mergeCell ref="L41:M41"/>
    <mergeCell ref="C44:D44"/>
    <mergeCell ref="H44:I44"/>
    <mergeCell ref="L44:M44"/>
    <mergeCell ref="L45:M45"/>
    <mergeCell ref="C45:D45"/>
    <mergeCell ref="H45:I45"/>
    <mergeCell ref="C41:D41"/>
    <mergeCell ref="C33:D33"/>
    <mergeCell ref="H33:I33"/>
    <mergeCell ref="L33:M33"/>
    <mergeCell ref="C39:D39"/>
    <mergeCell ref="H39:I39"/>
    <mergeCell ref="L39:M39"/>
    <mergeCell ref="C25:G25"/>
    <mergeCell ref="B28:M28"/>
    <mergeCell ref="B29:M29"/>
    <mergeCell ref="C31:D31"/>
    <mergeCell ref="H31:I31"/>
    <mergeCell ref="L31:M31"/>
    <mergeCell ref="C17:I17"/>
    <mergeCell ref="C18:I18"/>
    <mergeCell ref="C32:D32"/>
    <mergeCell ref="H32:I32"/>
    <mergeCell ref="L32:M32"/>
    <mergeCell ref="C20:I20"/>
    <mergeCell ref="C21:I21"/>
    <mergeCell ref="C22:I22"/>
    <mergeCell ref="D23:I23"/>
    <mergeCell ref="D24:I24"/>
    <mergeCell ref="C11:G11"/>
    <mergeCell ref="C19:I19"/>
    <mergeCell ref="C10:G10"/>
    <mergeCell ref="C2:G2"/>
    <mergeCell ref="H2:I2"/>
    <mergeCell ref="C3:G3"/>
    <mergeCell ref="H3:I3"/>
    <mergeCell ref="C13:I13"/>
    <mergeCell ref="C15:I15"/>
    <mergeCell ref="C16:I16"/>
  </mergeCells>
  <printOptions horizontalCentered="1" verticalCentered="1"/>
  <pageMargins left="0.7" right="0.45" top="0.75" bottom="0.75"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 DMK</dc:creator>
  <cp:keywords/>
  <dc:description/>
  <cp:lastModifiedBy>rathnakar</cp:lastModifiedBy>
  <cp:lastPrinted>2012-02-13T16:50:12Z</cp:lastPrinted>
  <dcterms:created xsi:type="dcterms:W3CDTF">2001-12-31T19:03:00Z</dcterms:created>
  <dcterms:modified xsi:type="dcterms:W3CDTF">2012-02-13T16:52:35Z</dcterms:modified>
  <cp:category/>
  <cp:version/>
  <cp:contentType/>
  <cp:contentStatus/>
</cp:coreProperties>
</file>